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635" firstSheet="3" activeTab="11"/>
  </bookViews>
  <sheets>
    <sheet name="1 Д 1 Н" sheetId="1" r:id="rId1"/>
    <sheet name="2Д 1Н" sheetId="2" r:id="rId2"/>
    <sheet name="3Д 1Н" sheetId="3" r:id="rId3"/>
    <sheet name="4Д 1Н" sheetId="4" r:id="rId4"/>
    <sheet name="5Д 1Н" sheetId="5" r:id="rId5"/>
    <sheet name="6Д 1 Н" sheetId="12" r:id="rId6"/>
    <sheet name="1Д 2Н" sheetId="6" r:id="rId7"/>
    <sheet name="2Д 2Н" sheetId="7" r:id="rId8"/>
    <sheet name="3Д 2Н" sheetId="8" r:id="rId9"/>
    <sheet name="4 Д 2Н" sheetId="9" r:id="rId10"/>
    <sheet name="5 Д2Н" sheetId="10" r:id="rId11"/>
    <sheet name="6Д 2Н" sheetId="14" r:id="rId12"/>
    <sheet name="Лист5" sheetId="15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/>
  <c r="E28"/>
  <c r="E25"/>
  <c r="E15" i="1"/>
  <c r="D33" l="1"/>
  <c r="E33"/>
  <c r="E28" i="14" l="1"/>
  <c r="E16"/>
  <c r="E39" i="10"/>
  <c r="E36"/>
  <c r="E35" i="9"/>
  <c r="E39"/>
  <c r="E17"/>
  <c r="E37" i="8"/>
  <c r="E41"/>
  <c r="E35" i="7"/>
  <c r="E36" i="6"/>
  <c r="E27" i="12"/>
  <c r="E34" i="5"/>
  <c r="E32" i="4"/>
  <c r="E26" i="3"/>
  <c r="E14"/>
  <c r="E36" i="2"/>
  <c r="C28" i="14"/>
  <c r="D26"/>
  <c r="D25"/>
  <c r="D24"/>
  <c r="D23"/>
  <c r="D22"/>
  <c r="D28" s="1"/>
  <c r="C16"/>
  <c r="D14"/>
  <c r="D13"/>
  <c r="D38" i="10"/>
  <c r="D36"/>
  <c r="C31"/>
  <c r="D27"/>
  <c r="D26"/>
  <c r="D25"/>
  <c r="D24"/>
  <c r="D23"/>
  <c r="D31" s="1"/>
  <c r="C17"/>
  <c r="D13"/>
  <c r="D12"/>
  <c r="D11"/>
  <c r="D17" s="1"/>
  <c r="C39" i="9"/>
  <c r="D36"/>
  <c r="D35"/>
  <c r="C29"/>
  <c r="D25"/>
  <c r="D24"/>
  <c r="D23"/>
  <c r="D22"/>
  <c r="D29" s="1"/>
  <c r="C17"/>
  <c r="D13"/>
  <c r="D12"/>
  <c r="D11"/>
  <c r="D17" s="1"/>
  <c r="C41" i="8"/>
  <c r="D37"/>
  <c r="D41" s="1"/>
  <c r="C31"/>
  <c r="D26"/>
  <c r="D25"/>
  <c r="D24"/>
  <c r="D23"/>
  <c r="D22"/>
  <c r="D31" s="1"/>
  <c r="C17"/>
  <c r="D14"/>
  <c r="D13"/>
  <c r="D12"/>
  <c r="D11"/>
  <c r="D17" s="1"/>
  <c r="C38" i="7"/>
  <c r="D36"/>
  <c r="D35"/>
  <c r="D38" s="1"/>
  <c r="C29"/>
  <c r="D26"/>
  <c r="D24"/>
  <c r="D23"/>
  <c r="D22"/>
  <c r="D29" s="1"/>
  <c r="C16"/>
  <c r="D13"/>
  <c r="D11"/>
  <c r="D16" s="1"/>
  <c r="C39" i="6"/>
  <c r="D37"/>
  <c r="D36"/>
  <c r="D39" s="1"/>
  <c r="C31"/>
  <c r="D26"/>
  <c r="D25"/>
  <c r="D24"/>
  <c r="D23"/>
  <c r="D31" s="1"/>
  <c r="C17"/>
  <c r="D14"/>
  <c r="D13"/>
  <c r="D12"/>
  <c r="D11"/>
  <c r="D17" s="1"/>
  <c r="C28" i="12"/>
  <c r="D26"/>
  <c r="D25"/>
  <c r="D24"/>
  <c r="D22"/>
  <c r="C16"/>
  <c r="D12"/>
  <c r="D11"/>
  <c r="D16" s="1"/>
  <c r="C37" i="5"/>
  <c r="D35"/>
  <c r="D34"/>
  <c r="D33"/>
  <c r="D37" s="1"/>
  <c r="C28"/>
  <c r="D25"/>
  <c r="D24"/>
  <c r="D23"/>
  <c r="D28" s="1"/>
  <c r="D22"/>
  <c r="C16"/>
  <c r="D13"/>
  <c r="D12"/>
  <c r="D11"/>
  <c r="D16" s="1"/>
  <c r="C35" i="4"/>
  <c r="D33"/>
  <c r="D32"/>
  <c r="D35" s="1"/>
  <c r="C28"/>
  <c r="D24"/>
  <c r="D28" s="1"/>
  <c r="C16"/>
  <c r="D13"/>
  <c r="D12"/>
  <c r="D11"/>
  <c r="D16" s="1"/>
  <c r="D16" i="14" l="1"/>
  <c r="D39" i="9"/>
  <c r="D28" i="12"/>
  <c r="D32" i="3"/>
  <c r="C32"/>
  <c r="C26"/>
  <c r="D21"/>
  <c r="D20"/>
  <c r="D19"/>
  <c r="D18"/>
  <c r="D26" s="1"/>
  <c r="C14"/>
  <c r="D10"/>
  <c r="D9"/>
  <c r="D14" s="1"/>
  <c r="C36" i="2"/>
  <c r="D35"/>
  <c r="D34"/>
  <c r="D33"/>
  <c r="D36" s="1"/>
  <c r="C28"/>
  <c r="D23"/>
  <c r="D22"/>
  <c r="D21"/>
  <c r="D20"/>
  <c r="D28" s="1"/>
  <c r="C15"/>
  <c r="D13"/>
  <c r="D12"/>
  <c r="D11"/>
  <c r="D10"/>
  <c r="D9"/>
  <c r="D15" s="1"/>
  <c r="C36" i="1" l="1"/>
  <c r="D35"/>
  <c r="D36"/>
  <c r="C28"/>
  <c r="D25"/>
  <c r="D24"/>
  <c r="D23"/>
  <c r="D22"/>
  <c r="D21"/>
  <c r="D28" s="1"/>
  <c r="D11"/>
  <c r="D9"/>
  <c r="D15" s="1"/>
  <c r="C314" i="15"/>
  <c r="C313"/>
  <c r="C311"/>
  <c r="C310"/>
  <c r="C316" s="1"/>
  <c r="C309"/>
  <c r="C305"/>
  <c r="C304"/>
  <c r="C294"/>
  <c r="C292"/>
  <c r="C286"/>
  <c r="C285"/>
  <c r="C284"/>
  <c r="C283"/>
  <c r="C282"/>
  <c r="C290" s="1"/>
  <c r="C276"/>
  <c r="C275"/>
  <c r="C274"/>
  <c r="C264"/>
  <c r="C263"/>
  <c r="C257"/>
  <c r="C256"/>
  <c r="C255"/>
  <c r="C254"/>
  <c r="C261" s="1"/>
  <c r="C248"/>
  <c r="C247"/>
  <c r="C246"/>
  <c r="C239"/>
  <c r="C235"/>
  <c r="C228"/>
  <c r="C227"/>
  <c r="C226"/>
  <c r="C225"/>
  <c r="C224"/>
  <c r="C219"/>
  <c r="C218"/>
  <c r="C217"/>
  <c r="C216"/>
  <c r="C222" s="1"/>
  <c r="C207"/>
  <c r="C206"/>
  <c r="C209" s="1"/>
  <c r="C201"/>
  <c r="C199"/>
  <c r="C198"/>
  <c r="C197"/>
  <c r="C204" s="1"/>
  <c r="C192"/>
  <c r="C190"/>
  <c r="C195" s="1"/>
  <c r="C181"/>
  <c r="C180"/>
  <c r="C183" s="1"/>
  <c r="C173"/>
  <c r="C172"/>
  <c r="C171"/>
  <c r="C170"/>
  <c r="C178" s="1"/>
  <c r="C164"/>
  <c r="C163"/>
  <c r="C162"/>
  <c r="C161"/>
  <c r="C167" s="1"/>
  <c r="C152"/>
  <c r="C151"/>
  <c r="C150"/>
  <c r="C148"/>
  <c r="C154" s="1"/>
  <c r="C142"/>
  <c r="C141"/>
  <c r="C146" s="1"/>
  <c r="C132"/>
  <c r="C131"/>
  <c r="C130"/>
  <c r="C125"/>
  <c r="C124"/>
  <c r="C123"/>
  <c r="C122"/>
  <c r="C117"/>
  <c r="C116"/>
  <c r="C115"/>
  <c r="C106"/>
  <c r="C105"/>
  <c r="C108" s="1"/>
  <c r="C99"/>
  <c r="C103" s="1"/>
  <c r="C91"/>
  <c r="C90"/>
  <c r="C94" s="1"/>
  <c r="C89"/>
  <c r="C82"/>
  <c r="C73"/>
  <c r="C72"/>
  <c r="C71"/>
  <c r="C70"/>
  <c r="C78" s="1"/>
  <c r="C64"/>
  <c r="C63"/>
  <c r="C68" s="1"/>
  <c r="C55"/>
  <c r="C54"/>
  <c r="C53"/>
  <c r="C46"/>
  <c r="C45"/>
  <c r="C44"/>
  <c r="C43"/>
  <c r="C39"/>
  <c r="C38"/>
  <c r="C37"/>
  <c r="C36"/>
  <c r="C35"/>
  <c r="C27"/>
  <c r="C25"/>
  <c r="C28" s="1"/>
  <c r="C20"/>
  <c r="C19"/>
  <c r="C18"/>
  <c r="C17"/>
  <c r="C23" s="1"/>
  <c r="C16"/>
  <c r="C10"/>
  <c r="C8"/>
  <c r="C15" i="1"/>
  <c r="B316" i="15"/>
  <c r="G314"/>
  <c r="F314"/>
  <c r="E314"/>
  <c r="D314"/>
  <c r="G313"/>
  <c r="F313"/>
  <c r="E313"/>
  <c r="D313"/>
  <c r="G311"/>
  <c r="F311"/>
  <c r="E311"/>
  <c r="D311"/>
  <c r="G310"/>
  <c r="F310"/>
  <c r="E310"/>
  <c r="E316" s="1"/>
  <c r="D310"/>
  <c r="G309"/>
  <c r="G316" s="1"/>
  <c r="F309"/>
  <c r="F316" s="1"/>
  <c r="D309"/>
  <c r="D316" s="1"/>
  <c r="B307"/>
  <c r="G305"/>
  <c r="F305"/>
  <c r="E305"/>
  <c r="D305"/>
  <c r="G304"/>
  <c r="G307" s="1"/>
  <c r="F304"/>
  <c r="F307" s="1"/>
  <c r="E304"/>
  <c r="E307" s="1"/>
  <c r="D304"/>
  <c r="D307" s="1"/>
  <c r="B295"/>
  <c r="G294"/>
  <c r="F294"/>
  <c r="E294"/>
  <c r="D294"/>
  <c r="G292"/>
  <c r="G295" s="1"/>
  <c r="F292"/>
  <c r="F295" s="1"/>
  <c r="E292"/>
  <c r="E295" s="1"/>
  <c r="D292"/>
  <c r="D295" s="1"/>
  <c r="B290"/>
  <c r="G286"/>
  <c r="F286"/>
  <c r="E286"/>
  <c r="D286"/>
  <c r="G285"/>
  <c r="F285"/>
  <c r="E285"/>
  <c r="D285"/>
  <c r="G284"/>
  <c r="F284"/>
  <c r="E284"/>
  <c r="D284"/>
  <c r="G283"/>
  <c r="F283"/>
  <c r="E283"/>
  <c r="D283"/>
  <c r="G282"/>
  <c r="F282"/>
  <c r="F290" s="1"/>
  <c r="E282"/>
  <c r="D282"/>
  <c r="D290" s="1"/>
  <c r="B280"/>
  <c r="D277"/>
  <c r="G276"/>
  <c r="F276"/>
  <c r="E276"/>
  <c r="G275"/>
  <c r="F275"/>
  <c r="E275"/>
  <c r="D275"/>
  <c r="G274"/>
  <c r="F274"/>
  <c r="E274"/>
  <c r="D274"/>
  <c r="B268"/>
  <c r="G264"/>
  <c r="F264"/>
  <c r="D264"/>
  <c r="G263"/>
  <c r="F263"/>
  <c r="E263"/>
  <c r="E268" s="1"/>
  <c r="D263"/>
  <c r="D268" s="1"/>
  <c r="B261"/>
  <c r="G257"/>
  <c r="F257"/>
  <c r="E257"/>
  <c r="D257"/>
  <c r="G256"/>
  <c r="F256"/>
  <c r="E256"/>
  <c r="D256"/>
  <c r="G255"/>
  <c r="F255"/>
  <c r="D255"/>
  <c r="G254"/>
  <c r="F254"/>
  <c r="E254"/>
  <c r="D254"/>
  <c r="B252"/>
  <c r="G248"/>
  <c r="F248"/>
  <c r="E248"/>
  <c r="D248"/>
  <c r="G247"/>
  <c r="F247"/>
  <c r="E247"/>
  <c r="D247"/>
  <c r="G246"/>
  <c r="G252" s="1"/>
  <c r="F246"/>
  <c r="E246"/>
  <c r="E252" s="1"/>
  <c r="D246"/>
  <c r="B239"/>
  <c r="D236"/>
  <c r="G235"/>
  <c r="G239" s="1"/>
  <c r="F235"/>
  <c r="F239" s="1"/>
  <c r="E235"/>
  <c r="E239" s="1"/>
  <c r="D235"/>
  <c r="D239" s="1"/>
  <c r="B233"/>
  <c r="G228"/>
  <c r="F228"/>
  <c r="E228"/>
  <c r="D228"/>
  <c r="G227"/>
  <c r="F227"/>
  <c r="E227"/>
  <c r="D227"/>
  <c r="G226"/>
  <c r="F226"/>
  <c r="E226"/>
  <c r="D226"/>
  <c r="G225"/>
  <c r="F225"/>
  <c r="E225"/>
  <c r="E233" s="1"/>
  <c r="D225"/>
  <c r="G224"/>
  <c r="F224"/>
  <c r="F233" s="1"/>
  <c r="D224"/>
  <c r="B222"/>
  <c r="G219"/>
  <c r="F219"/>
  <c r="E219"/>
  <c r="D219"/>
  <c r="G218"/>
  <c r="F218"/>
  <c r="E218"/>
  <c r="D218"/>
  <c r="G217"/>
  <c r="F217"/>
  <c r="E217"/>
  <c r="D217"/>
  <c r="G216"/>
  <c r="F216"/>
  <c r="F222" s="1"/>
  <c r="E216"/>
  <c r="D216"/>
  <c r="D222" s="1"/>
  <c r="B209"/>
  <c r="G207"/>
  <c r="F207"/>
  <c r="G206"/>
  <c r="G209" s="1"/>
  <c r="F206"/>
  <c r="F209" s="1"/>
  <c r="E206"/>
  <c r="E209" s="1"/>
  <c r="D206"/>
  <c r="D209" s="1"/>
  <c r="B204"/>
  <c r="G201"/>
  <c r="F201"/>
  <c r="E201"/>
  <c r="D201"/>
  <c r="G199"/>
  <c r="F199"/>
  <c r="E199"/>
  <c r="D199"/>
  <c r="G198"/>
  <c r="F198"/>
  <c r="E198"/>
  <c r="D198"/>
  <c r="G197"/>
  <c r="G204" s="1"/>
  <c r="F197"/>
  <c r="E197"/>
  <c r="E204" s="1"/>
  <c r="D197"/>
  <c r="B195"/>
  <c r="G192"/>
  <c r="F192"/>
  <c r="E192"/>
  <c r="D192"/>
  <c r="G190"/>
  <c r="G195" s="1"/>
  <c r="F190"/>
  <c r="F195" s="1"/>
  <c r="E190"/>
  <c r="E195" s="1"/>
  <c r="D190"/>
  <c r="D195" s="1"/>
  <c r="B183"/>
  <c r="G181"/>
  <c r="F181"/>
  <c r="E181"/>
  <c r="D181"/>
  <c r="G180"/>
  <c r="G183" s="1"/>
  <c r="F180"/>
  <c r="F183" s="1"/>
  <c r="E180"/>
  <c r="E183" s="1"/>
  <c r="D180"/>
  <c r="D183" s="1"/>
  <c r="B178"/>
  <c r="G173"/>
  <c r="F173"/>
  <c r="E173"/>
  <c r="D173"/>
  <c r="G172"/>
  <c r="E172"/>
  <c r="D172"/>
  <c r="G171"/>
  <c r="F171"/>
  <c r="E171"/>
  <c r="D171"/>
  <c r="G170"/>
  <c r="F170"/>
  <c r="F178" s="1"/>
  <c r="E170"/>
  <c r="D170"/>
  <c r="D178" s="1"/>
  <c r="B167"/>
  <c r="G164"/>
  <c r="F164"/>
  <c r="D164"/>
  <c r="G163"/>
  <c r="F163"/>
  <c r="E163"/>
  <c r="D163"/>
  <c r="G162"/>
  <c r="F162"/>
  <c r="E162"/>
  <c r="D162"/>
  <c r="G161"/>
  <c r="F161"/>
  <c r="E161"/>
  <c r="E167" s="1"/>
  <c r="D161"/>
  <c r="B154"/>
  <c r="G152"/>
  <c r="F152"/>
  <c r="E152"/>
  <c r="D152"/>
  <c r="G151"/>
  <c r="E151"/>
  <c r="D151"/>
  <c r="G150"/>
  <c r="F150"/>
  <c r="F149"/>
  <c r="E149"/>
  <c r="D149"/>
  <c r="G148"/>
  <c r="F148"/>
  <c r="D148"/>
  <c r="B146"/>
  <c r="G142"/>
  <c r="F142"/>
  <c r="E142"/>
  <c r="D142"/>
  <c r="G141"/>
  <c r="G146" s="1"/>
  <c r="F141"/>
  <c r="F146" s="1"/>
  <c r="E141"/>
  <c r="E146" s="1"/>
  <c r="D141"/>
  <c r="D146" s="1"/>
  <c r="B134"/>
  <c r="G132"/>
  <c r="F132"/>
  <c r="E132"/>
  <c r="D132"/>
  <c r="G131"/>
  <c r="F131"/>
  <c r="E131"/>
  <c r="D131"/>
  <c r="G130"/>
  <c r="G134" s="1"/>
  <c r="F130"/>
  <c r="F134" s="1"/>
  <c r="E130"/>
  <c r="E134" s="1"/>
  <c r="D130"/>
  <c r="D134" s="1"/>
  <c r="B128"/>
  <c r="G125"/>
  <c r="F125"/>
  <c r="E125"/>
  <c r="D125"/>
  <c r="G124"/>
  <c r="F124"/>
  <c r="G123"/>
  <c r="F123"/>
  <c r="E123"/>
  <c r="E128" s="1"/>
  <c r="D123"/>
  <c r="G122"/>
  <c r="G128" s="1"/>
  <c r="F122"/>
  <c r="F128" s="1"/>
  <c r="D122"/>
  <c r="D128" s="1"/>
  <c r="B120"/>
  <c r="G117"/>
  <c r="F117"/>
  <c r="E117"/>
  <c r="D117"/>
  <c r="G116"/>
  <c r="F116"/>
  <c r="E116"/>
  <c r="D116"/>
  <c r="G115"/>
  <c r="F115"/>
  <c r="E115"/>
  <c r="D115"/>
  <c r="B108"/>
  <c r="G106"/>
  <c r="F106"/>
  <c r="E106"/>
  <c r="D106"/>
  <c r="G105"/>
  <c r="G108" s="1"/>
  <c r="F105"/>
  <c r="F108" s="1"/>
  <c r="E105"/>
  <c r="E108" s="1"/>
  <c r="D105"/>
  <c r="D108" s="1"/>
  <c r="B103"/>
  <c r="D100"/>
  <c r="G99"/>
  <c r="G103" s="1"/>
  <c r="F99"/>
  <c r="F103" s="1"/>
  <c r="E99"/>
  <c r="E103" s="1"/>
  <c r="D99"/>
  <c r="D103" s="1"/>
  <c r="B94"/>
  <c r="G91"/>
  <c r="F91"/>
  <c r="E91"/>
  <c r="D91"/>
  <c r="G90"/>
  <c r="F90"/>
  <c r="E90"/>
  <c r="D90"/>
  <c r="G89"/>
  <c r="G94" s="1"/>
  <c r="F89"/>
  <c r="F94" s="1"/>
  <c r="E89"/>
  <c r="E94" s="1"/>
  <c r="D89"/>
  <c r="D94" s="1"/>
  <c r="G82"/>
  <c r="F82"/>
  <c r="E82"/>
  <c r="D82"/>
  <c r="B82"/>
  <c r="B78"/>
  <c r="G73"/>
  <c r="F73"/>
  <c r="E73"/>
  <c r="D73"/>
  <c r="G72"/>
  <c r="F72"/>
  <c r="G71"/>
  <c r="F71"/>
  <c r="E71"/>
  <c r="D71"/>
  <c r="G70"/>
  <c r="G78" s="1"/>
  <c r="F70"/>
  <c r="F78" s="1"/>
  <c r="E70"/>
  <c r="E78" s="1"/>
  <c r="D70"/>
  <c r="D78" s="1"/>
  <c r="B68"/>
  <c r="D65"/>
  <c r="G64"/>
  <c r="F64"/>
  <c r="E64"/>
  <c r="D64"/>
  <c r="G63"/>
  <c r="G68" s="1"/>
  <c r="F63"/>
  <c r="F68" s="1"/>
  <c r="E63"/>
  <c r="E68" s="1"/>
  <c r="D63"/>
  <c r="D68" s="1"/>
  <c r="B56"/>
  <c r="G55"/>
  <c r="F55"/>
  <c r="E55"/>
  <c r="D55"/>
  <c r="G54"/>
  <c r="F54"/>
  <c r="E54"/>
  <c r="D54"/>
  <c r="G53"/>
  <c r="G56" s="1"/>
  <c r="F53"/>
  <c r="F56" s="1"/>
  <c r="E53"/>
  <c r="E56" s="1"/>
  <c r="D53"/>
  <c r="D56" s="1"/>
  <c r="B51"/>
  <c r="D47"/>
  <c r="G46"/>
  <c r="F46"/>
  <c r="D46"/>
  <c r="G45"/>
  <c r="F45"/>
  <c r="E45"/>
  <c r="D45"/>
  <c r="G44"/>
  <c r="F44"/>
  <c r="E44"/>
  <c r="E51" s="1"/>
  <c r="D44"/>
  <c r="G43"/>
  <c r="F43"/>
  <c r="D43"/>
  <c r="B41"/>
  <c r="G39"/>
  <c r="D39"/>
  <c r="G38"/>
  <c r="F38"/>
  <c r="E38"/>
  <c r="D38"/>
  <c r="G37"/>
  <c r="F37"/>
  <c r="E37"/>
  <c r="D37"/>
  <c r="G36"/>
  <c r="F36"/>
  <c r="E36"/>
  <c r="D36"/>
  <c r="G35"/>
  <c r="G41" s="1"/>
  <c r="F35"/>
  <c r="E35"/>
  <c r="E41" s="1"/>
  <c r="D35"/>
  <c r="B28"/>
  <c r="G27"/>
  <c r="F27"/>
  <c r="E27"/>
  <c r="D27"/>
  <c r="G25"/>
  <c r="G28" s="1"/>
  <c r="F25"/>
  <c r="F28" s="1"/>
  <c r="E25"/>
  <c r="E28" s="1"/>
  <c r="D25"/>
  <c r="D28" s="1"/>
  <c r="B23"/>
  <c r="G20"/>
  <c r="F20"/>
  <c r="E20"/>
  <c r="D20"/>
  <c r="G19"/>
  <c r="F19"/>
  <c r="D19"/>
  <c r="G18"/>
  <c r="F18"/>
  <c r="D18"/>
  <c r="G17"/>
  <c r="F17"/>
  <c r="E17"/>
  <c r="D17"/>
  <c r="G16"/>
  <c r="F16"/>
  <c r="E16"/>
  <c r="E23" s="1"/>
  <c r="D16"/>
  <c r="B14"/>
  <c r="G10"/>
  <c r="F10"/>
  <c r="E10"/>
  <c r="D10"/>
  <c r="D9"/>
  <c r="G8"/>
  <c r="G14" s="1"/>
  <c r="F8"/>
  <c r="E8"/>
  <c r="E14" s="1"/>
  <c r="D8"/>
  <c r="C268" l="1"/>
  <c r="C280"/>
  <c r="C295"/>
  <c r="C307"/>
  <c r="D14"/>
  <c r="F14"/>
  <c r="F154"/>
  <c r="G167"/>
  <c r="G268"/>
  <c r="E280"/>
  <c r="G280"/>
  <c r="C14"/>
  <c r="C41"/>
  <c r="C51"/>
  <c r="C56"/>
  <c r="C120"/>
  <c r="C128"/>
  <c r="C134"/>
  <c r="C135" s="1"/>
  <c r="C233"/>
  <c r="C252"/>
  <c r="C317"/>
  <c r="C57"/>
  <c r="C29"/>
  <c r="C83"/>
  <c r="C109"/>
  <c r="C155"/>
  <c r="C184"/>
  <c r="C210"/>
  <c r="C240"/>
  <c r="C296"/>
  <c r="D204"/>
  <c r="F204"/>
  <c r="D317"/>
  <c r="D41"/>
  <c r="F41"/>
  <c r="D154"/>
  <c r="D155" s="1"/>
  <c r="G154"/>
  <c r="G233"/>
  <c r="D252"/>
  <c r="F252"/>
  <c r="F280"/>
  <c r="D280"/>
  <c r="D296" s="1"/>
  <c r="G155"/>
  <c r="G23"/>
  <c r="F23"/>
  <c r="D23"/>
  <c r="D51"/>
  <c r="G51"/>
  <c r="F51"/>
  <c r="F57" s="1"/>
  <c r="E120"/>
  <c r="E135" s="1"/>
  <c r="G120"/>
  <c r="D120"/>
  <c r="D135" s="1"/>
  <c r="F120"/>
  <c r="E154"/>
  <c r="E155" s="1"/>
  <c r="D167"/>
  <c r="F167"/>
  <c r="E178"/>
  <c r="G178"/>
  <c r="G184" s="1"/>
  <c r="D210"/>
  <c r="F210"/>
  <c r="E222"/>
  <c r="G222"/>
  <c r="D233"/>
  <c r="D240" s="1"/>
  <c r="F240"/>
  <c r="D261"/>
  <c r="F261"/>
  <c r="E261"/>
  <c r="G261"/>
  <c r="F268"/>
  <c r="E290"/>
  <c r="E296" s="1"/>
  <c r="G290"/>
  <c r="G296" s="1"/>
  <c r="D29"/>
  <c r="F29"/>
  <c r="G29"/>
  <c r="G57"/>
  <c r="E83"/>
  <c r="G83"/>
  <c r="D109"/>
  <c r="F109"/>
  <c r="F135"/>
  <c r="E29"/>
  <c r="E57"/>
  <c r="D83"/>
  <c r="F83"/>
  <c r="E109"/>
  <c r="G109"/>
  <c r="G135"/>
  <c r="F155"/>
  <c r="D184"/>
  <c r="F184"/>
  <c r="G210"/>
  <c r="G317"/>
  <c r="E317"/>
  <c r="E184"/>
  <c r="E210"/>
  <c r="E240"/>
  <c r="G240"/>
  <c r="F296"/>
  <c r="F317"/>
  <c r="D57" l="1"/>
  <c r="A32" i="14" l="1"/>
  <c r="A4"/>
  <c r="D3"/>
  <c r="A3"/>
  <c r="D2"/>
  <c r="A2"/>
  <c r="D1"/>
  <c r="A1"/>
  <c r="A32" i="12"/>
  <c r="E28"/>
  <c r="E16"/>
  <c r="A4"/>
  <c r="D3"/>
  <c r="A3"/>
  <c r="D2"/>
  <c r="A2"/>
  <c r="D1"/>
  <c r="A1"/>
  <c r="E28" i="4" l="1"/>
  <c r="E31" i="10" l="1"/>
  <c r="E17"/>
  <c r="E29" i="9"/>
  <c r="E31" i="8"/>
  <c r="E17"/>
  <c r="E29" i="7"/>
  <c r="E16"/>
  <c r="E31" i="6"/>
  <c r="E17"/>
  <c r="E16" i="4"/>
  <c r="E27" i="1" l="1"/>
  <c r="E16" i="5" l="1"/>
  <c r="E28" i="2"/>
  <c r="E15"/>
  <c r="G15" i="1" s="1"/>
  <c r="G17" s="1"/>
  <c r="E28"/>
  <c r="G28" s="1"/>
  <c r="G30" s="1"/>
  <c r="E38" i="7" l="1"/>
  <c r="E39" i="6"/>
  <c r="E37" i="5"/>
  <c r="E35" i="4"/>
  <c r="E32" i="3" l="1"/>
  <c r="E36" i="1"/>
  <c r="D4" i="10" l="1"/>
  <c r="D4" i="9"/>
  <c r="D4" i="8"/>
  <c r="D4" i="7"/>
  <c r="D4" i="6"/>
  <c r="D2" i="5"/>
  <c r="D2" i="10" s="1"/>
  <c r="D3" i="5"/>
  <c r="D3" i="9" s="1"/>
  <c r="D1" i="5"/>
  <c r="D1" i="10" s="1"/>
  <c r="C2" i="4"/>
  <c r="C3"/>
  <c r="D1"/>
  <c r="C2" i="3"/>
  <c r="C3"/>
  <c r="C4"/>
  <c r="C4" i="2"/>
  <c r="C3"/>
  <c r="C2"/>
  <c r="D1" i="6" l="1"/>
  <c r="D1" i="7"/>
  <c r="D1" i="8"/>
  <c r="D1" i="9"/>
  <c r="D3" i="10"/>
  <c r="D3" i="6"/>
  <c r="D3" i="7"/>
  <c r="D3" i="8"/>
  <c r="D2" i="6"/>
  <c r="D2" i="7"/>
  <c r="D2" i="8"/>
  <c r="D2" i="9"/>
  <c r="A41" i="10"/>
  <c r="A40" i="9"/>
  <c r="A42" i="8"/>
  <c r="A41" i="7"/>
  <c r="A42" i="6"/>
  <c r="A41" i="5"/>
  <c r="A37" i="4"/>
  <c r="A34" i="3"/>
  <c r="A38" i="2"/>
  <c r="A4" i="10" l="1"/>
  <c r="A3"/>
  <c r="A2"/>
  <c r="A1"/>
  <c r="A4" i="9"/>
  <c r="A3"/>
  <c r="A2"/>
  <c r="A1"/>
  <c r="A4" i="8"/>
  <c r="A3"/>
  <c r="A2"/>
  <c r="A1"/>
  <c r="A4" i="7"/>
  <c r="A3"/>
  <c r="A2"/>
  <c r="A1"/>
  <c r="A4" i="6"/>
  <c r="A3"/>
  <c r="A2"/>
  <c r="A1"/>
  <c r="A4" i="4"/>
  <c r="A3"/>
  <c r="A2"/>
  <c r="A1"/>
  <c r="A4" i="5"/>
  <c r="A3"/>
  <c r="A2"/>
  <c r="A1"/>
</calcChain>
</file>

<file path=xl/sharedStrings.xml><?xml version="1.0" encoding="utf-8"?>
<sst xmlns="http://schemas.openxmlformats.org/spreadsheetml/2006/main" count="1159" uniqueCount="249">
  <si>
    <t>Прием пищи, наименование блюда</t>
  </si>
  <si>
    <t>Масса порции</t>
  </si>
  <si>
    <t>Энергети-ческая ценность, ккал</t>
  </si>
  <si>
    <t>СЫР (ПОРЦИЯМИ)</t>
  </si>
  <si>
    <t xml:space="preserve">ЧАЙ С МОЛОКОМ </t>
  </si>
  <si>
    <t>ХЛЕБ ПШЕНИЧНЫЙ</t>
  </si>
  <si>
    <t>ХЛЕБ РЖАНОЙ</t>
  </si>
  <si>
    <t>Итого за прием пищи:</t>
  </si>
  <si>
    <t>ИКРА КАБАЧКОВАЯ</t>
  </si>
  <si>
    <t>БОРЩ С КАПУСТОЙ И КАРТОФЕЛЕМ</t>
  </si>
  <si>
    <t>КАША РАССЫПЧАТАЯ ПЕРЛОВАЯ</t>
  </si>
  <si>
    <t>СОК ФРУКТОВЫЙ/ВИШНЕВЫЙ/</t>
  </si>
  <si>
    <t>ЗАПЕКАНКА  КАРТОФЕЛЬНАЯ С СУБПРОДУКТАМИ/ПЕЧЕНЬ/</t>
  </si>
  <si>
    <t>Согласовано</t>
  </si>
  <si>
    <t>Директор ООО "ВитаЛайн"</t>
  </si>
  <si>
    <t>_____________Н.Н.Клоков</t>
  </si>
  <si>
    <t>№ п/п</t>
  </si>
  <si>
    <t>Утверждаю</t>
  </si>
  <si>
    <t>РАГУ ИЗ ОВОЩЕЙ</t>
  </si>
  <si>
    <t>КОТЛЕТЫ, ИЗ ГОВЯДИНЫ</t>
  </si>
  <si>
    <t>КОФЕЙНЫЙ НАПИТОК С МОЛОКОМ</t>
  </si>
  <si>
    <t>САЛАТ ИЗ СВЕКЛЫ С СЫРОМ И ЧЕСНОКОМ</t>
  </si>
  <si>
    <t>КАРТОФЕЛЬ В МОЛОКЕ</t>
  </si>
  <si>
    <t>СУФЛЕ ИЗ КУР</t>
  </si>
  <si>
    <t>СОК ФРУКТОВЫЙ/ЯБЛОЧНЫЙ/</t>
  </si>
  <si>
    <t>МОЛОКО 2,5% ПРОМ ПРОИЗВОДСТВА</t>
  </si>
  <si>
    <t>КОМПОТ ИЗ СВЕЖИХ ПЛОДОВ (1-ЫЙ ВАРИАНТ)</t>
  </si>
  <si>
    <t>№п/п</t>
  </si>
  <si>
    <t>ОВОЩИ НАТУРАЛЬНЫЕ СОЛЕНЫЕ/ПОМИДОРЫ /</t>
  </si>
  <si>
    <t>СОК ФРУКТОВЫЙ/ВИНОГРАДНЫЙ/</t>
  </si>
  <si>
    <t>САЛАТ ИЗ БЕЛОКОЧАННОЙ КАПУСТЫ С МОРКОВЬЮ</t>
  </si>
  <si>
    <t xml:space="preserve">СУП КАРТОФЕЛЬНЫЙ С КЛЕЦКАМИ </t>
  </si>
  <si>
    <t>САЛАТ ИЗ КВАШЕНОЙ КАПУСТЫ</t>
  </si>
  <si>
    <t>РАГУ ИЗ  ЦЫПЛЕНКА-БРОЙЛЕРА</t>
  </si>
  <si>
    <t>РАССОЛЬНИК ЛЕНИНГРАДСКИЙ</t>
  </si>
  <si>
    <t>САЛАТ ИЗ МОРКОВИ И КУРАГИ С ЙОГУРТОМ</t>
  </si>
  <si>
    <t>ЩИ ИЗ СВЕЖЕЙ КАПУСТЫ</t>
  </si>
  <si>
    <t>САЛАТ ИЗ СВЕКЛЫ С КУРАГОЙ И ИЗЮМОМ</t>
  </si>
  <si>
    <t>КАКАО С МОЛОКОМ</t>
  </si>
  <si>
    <t>ПЮРЕ КАРТОФЕЛЬНОЕ</t>
  </si>
  <si>
    <t>МАКАРОНЫ ОТВАРНЫЕ С СЫРОМ</t>
  </si>
  <si>
    <t>ЧАЙ С САХАРОМ</t>
  </si>
  <si>
    <t>БУТЕРБРОДЫ С МЯСНОЙ КОТЛЕТОЙ</t>
  </si>
  <si>
    <t>ЧАЙ С ЛИМОНОМ</t>
  </si>
  <si>
    <t>КОНДИТЕРСКИЕ ИЗДЕЛИЯ/ПЕЧЕНЬЕ/</t>
  </si>
  <si>
    <t>САЛАТ ИЗ СОЛЕНЫХ ОГУРЦОВ С ЛУКОМ</t>
  </si>
  <si>
    <t>БОРЩ С ФАСОЛЬЮ И КАРТОФЕЛЕМ</t>
  </si>
  <si>
    <t>КАРТОФЕЛЬ И ОВОЩИ, ТУШЕННЫЕ В СОУСЕ</t>
  </si>
  <si>
    <t>ЗАПЕКАНКА ОВОЩНАЯ</t>
  </si>
  <si>
    <t>КОМПОТ ИЗ СМЕСИ СУХОФРУКТОВ</t>
  </si>
  <si>
    <t>САЛАТ ИЗ МОРКОВИ С ИЗЮМОМ</t>
  </si>
  <si>
    <t>ПОДЖАРКА ИЗ РЫБЫ</t>
  </si>
  <si>
    <t>ВИНЕГРЕТ ОВОЩНОЙ</t>
  </si>
  <si>
    <t>СУП КАРТОФЕЛЬНЫЙ С МАКАРОННЫМИ ИЗДЕЛИЯМИ</t>
  </si>
  <si>
    <t>КАПУСТА, ТУШЕННАЯ С ЯБЛОКАМИ</t>
  </si>
  <si>
    <t>МЮСЛИ /ХЛОПЬЯ КУКУРУЗНЫЕ ИЛИ ПШЕНИЧНЫЕ/ С МОЛОКОМ</t>
  </si>
  <si>
    <t>САЛАТ ИЗ БЕЛОКОЧАННОЙ КАПУСТЫ С ЯБЛОКАМИ</t>
  </si>
  <si>
    <t>КАША РАССЫПЧАТАЯ ГРЕЧНЕВАЯ</t>
  </si>
  <si>
    <t>РЫБА, ЗАПЕЧЕННАЯ С КАРТОФЕЛЕМ ПО-РУССКИ С ЗЕЛ ГОРОШКОМ</t>
  </si>
  <si>
    <t>КИСЕЛЬ ИЗ ЯБЛОК СУШЕНЫХ</t>
  </si>
  <si>
    <t>ПЕЧЕНЬ ПО-СТРОГАНОВСКИ</t>
  </si>
  <si>
    <t>КИСЕЛЬ ИЗ КУРАГИ</t>
  </si>
  <si>
    <t>МАКАРОНЫ, ЗАПЕЧЕННЫЕ С СЫРОМ</t>
  </si>
  <si>
    <t>"___"______________2023 г</t>
  </si>
  <si>
    <t>"____"__________2023 г.</t>
  </si>
  <si>
    <t>______________/______________/</t>
  </si>
  <si>
    <t>Директор МБОУ _____________</t>
  </si>
  <si>
    <t xml:space="preserve">    Заведующий производством  _______________/  ______________/                              /</t>
  </si>
  <si>
    <t>"_____"________________2023 г.</t>
  </si>
  <si>
    <t>"_____"__________________2023 г.</t>
  </si>
  <si>
    <t>Цена розничная</t>
  </si>
  <si>
    <t xml:space="preserve">КАША ВЯЗКАЯ ИЗ РИСА И ПШЕНА </t>
  </si>
  <si>
    <t>ФРУКТЫ СВЕЖИЕ*/ЯБЛОКО/</t>
  </si>
  <si>
    <t>КИСЛОМОЛОЧНЫЙ НАПИТОК**/СНЕЖОК/</t>
  </si>
  <si>
    <t>*  ДОПУСКАЕТСЯ ВЫДАЧА ДРУГИХ ФРУКТОВ В ЗАВИСИМОСТИ ОТ СЕЗОНА</t>
  </si>
  <si>
    <t>** ДОПУСКАЕТСЯ ВЫДАЧА ДРУГИХ КИСЛОМОЛОЧНЫХ ПРОДУКТОВ (С УЧЕТОМ ИХ ПИЩЕВОЙ ЦЕННОСТИ)</t>
  </si>
  <si>
    <t>СУП  С БОБОВЫМИ /ГОРОХ/</t>
  </si>
  <si>
    <t>РУЛЕТ С МАКАРОНАМИ</t>
  </si>
  <si>
    <t>КИСЛОМОЛОЧНЫЙ НАПИТОК** /КЕФИР/</t>
  </si>
  <si>
    <t>ФРУКТЫ СВЕЖИЕ*/ГРУША/</t>
  </si>
  <si>
    <t>КОНДИТЕРСКИЕ ИЗДЕЛИЯ*** /НЕ КРЕМОВЫЕ/</t>
  </si>
  <si>
    <t>МАКАРОНЫ ЗАПЕЧЕННЫЕ С ЯЙЦОМ</t>
  </si>
  <si>
    <t>ГУЛЯШ</t>
  </si>
  <si>
    <t>БУЛОЧКА ОБСЫПНАЯ П/П</t>
  </si>
  <si>
    <t>ЯБЛОКИ ПЕЧЕНЫЕ</t>
  </si>
  <si>
    <t>БУТЕРБРОД С ПОВИДЛОМ</t>
  </si>
  <si>
    <t xml:space="preserve">БУТЕРБРОД С МАСЛОМ </t>
  </si>
  <si>
    <t>"УТВЕРЖДАЮ"
""____""______________ 2023 Г"</t>
  </si>
  <si>
    <t>Пищевые вещества</t>
  </si>
  <si>
    <t>Белки, г</t>
  </si>
  <si>
    <t>Жиры, г</t>
  </si>
  <si>
    <t>Углеводы, г</t>
  </si>
  <si>
    <t>Всего за день:</t>
  </si>
  <si>
    <t>ПЕЧЕНЬ, ТУШЕНАЯ В ТОМАТНОМ СОУСЕ</t>
  </si>
  <si>
    <t>Итого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</si>
  <si>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</si>
  <si>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</si>
  <si>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</si>
  <si>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Возраст детей</t>
  </si>
  <si>
    <t>7-11 лет</t>
  </si>
  <si>
    <t>№ рецеп-туры</t>
  </si>
  <si>
    <t>15</t>
  </si>
  <si>
    <t>378</t>
  </si>
  <si>
    <t>338</t>
  </si>
  <si>
    <t>73</t>
  </si>
  <si>
    <t>82</t>
  </si>
  <si>
    <t>234</t>
  </si>
  <si>
    <t>389</t>
  </si>
  <si>
    <t>284</t>
  </si>
  <si>
    <t>386</t>
  </si>
  <si>
    <t>21</t>
  </si>
  <si>
    <t>268</t>
  </si>
  <si>
    <t>379</t>
  </si>
  <si>
    <t>50</t>
  </si>
  <si>
    <t>пп</t>
  </si>
  <si>
    <t>224</t>
  </si>
  <si>
    <t>342.1</t>
  </si>
  <si>
    <t>70</t>
  </si>
  <si>
    <t>45</t>
  </si>
  <si>
    <t>259</t>
  </si>
  <si>
    <t>5</t>
  </si>
  <si>
    <t>47</t>
  </si>
  <si>
    <t>289</t>
  </si>
  <si>
    <t>96</t>
  </si>
  <si>
    <t>ТТК</t>
  </si>
  <si>
    <t>64</t>
  </si>
  <si>
    <t>51</t>
  </si>
  <si>
    <t>87</t>
  </si>
  <si>
    <t>139</t>
  </si>
  <si>
    <t>382</t>
  </si>
  <si>
    <t>312</t>
  </si>
  <si>
    <t>354</t>
  </si>
  <si>
    <t>ТТК 2</t>
  </si>
  <si>
    <t>ПП</t>
  </si>
  <si>
    <t>377</t>
  </si>
  <si>
    <t>223</t>
  </si>
  <si>
    <t>84</t>
  </si>
  <si>
    <t>142</t>
  </si>
  <si>
    <t>165</t>
  </si>
  <si>
    <t>349</t>
  </si>
  <si>
    <t>66</t>
  </si>
  <si>
    <t>ТТК 6</t>
  </si>
  <si>
    <t>67</t>
  </si>
  <si>
    <t>103</t>
  </si>
  <si>
    <t>322</t>
  </si>
  <si>
    <t>179</t>
  </si>
  <si>
    <t>46</t>
  </si>
  <si>
    <t>302.1</t>
  </si>
  <si>
    <t>255</t>
  </si>
  <si>
    <t>352</t>
  </si>
  <si>
    <t>ТТК 5</t>
  </si>
  <si>
    <t>ЕЖЕДНЕВНОЕ МЕНЮ ЗАВТРАК 5-11 КЛАСС</t>
  </si>
  <si>
    <t>ЕЖЕДНЕВНОЕ МЕНЮ ОБЕД 5-11 КЛАСС</t>
  </si>
  <si>
    <t>ЕЖЕДНЕВНОЕ МЕНЮ  ПОЛДНИК 5-11 КЛАСС</t>
  </si>
  <si>
    <t>МЕНЮ ПРИГОТАВЛИВАЕМЫХ БЛЮД ДЛЯ ВОЗРАСТНОЙ КАТЕГОРИИ ДЕТЕЙ 12-18 ЛЕТ НА ЗИМНЕ-ВЕСЕННИЙ ПЕРИОД</t>
  </si>
  <si>
    <t>1 день</t>
  </si>
  <si>
    <t>Сборник рецептур</t>
  </si>
  <si>
    <t>Завтрак</t>
  </si>
  <si>
    <t>303.3</t>
  </si>
  <si>
    <t>2017</t>
  </si>
  <si>
    <t>2020</t>
  </si>
  <si>
    <t>Обед</t>
  </si>
  <si>
    <t>171.3</t>
  </si>
  <si>
    <t>КОТЛЕТЫ  РЫБНЫЕ /СОУС 332  100/15</t>
  </si>
  <si>
    <t>Полдник</t>
  </si>
  <si>
    <t>1</t>
  </si>
  <si>
    <t>2 день</t>
  </si>
  <si>
    <t>143</t>
  </si>
  <si>
    <t>102</t>
  </si>
  <si>
    <t>311</t>
  </si>
  <si>
    <t>299</t>
  </si>
  <si>
    <t>ЗАПЕКАНКА ИЗ ТВОРОГА С МОРКОВЬЮ / СОУС ЯБЛОЧНЫЙ  200/20</t>
  </si>
  <si>
    <t>2</t>
  </si>
  <si>
    <t>3 день</t>
  </si>
  <si>
    <t>276.1</t>
  </si>
  <si>
    <t>118.2</t>
  </si>
  <si>
    <t>2011</t>
  </si>
  <si>
    <t>ЖАРКОЕ ПО-ДОМАШНЕМУ/СВИНИНА/</t>
  </si>
  <si>
    <t>БУТЕРБРОДЫ С КУРИНОЙ  КОТЛЕТОЙ</t>
  </si>
  <si>
    <t>3</t>
  </si>
  <si>
    <t>4 день</t>
  </si>
  <si>
    <t xml:space="preserve">ИКРА СВЕКОЛЬНАЯ </t>
  </si>
  <si>
    <t>75</t>
  </si>
  <si>
    <t>БИТОЧКИ РЫБНЫЕ НА ОВОЩНОЙ ПОДУШКЕ С СОУСОМ 100//120/30</t>
  </si>
  <si>
    <t>КАША ПШЕННАЯ  С ТЫКВОЙ И ЯБЛОКАМИ</t>
  </si>
  <si>
    <t>ТТК 4</t>
  </si>
  <si>
    <t>4</t>
  </si>
  <si>
    <t>5 день</t>
  </si>
  <si>
    <t>2017\</t>
  </si>
  <si>
    <t>ЗАПЕКАНКА ИЗ ТВОРОГА  С ПОВИДЛОМ 180/20</t>
  </si>
  <si>
    <t>КАПУСТА ТУШЕНАЯ ИЗ КВАШЕНОЙ</t>
  </si>
  <si>
    <t>БИТОЧКИ /СОУС 100/30</t>
  </si>
  <si>
    <t>281</t>
  </si>
  <si>
    <t>6 день</t>
  </si>
  <si>
    <t>КАША ВЯЗКАЯ МОЛОЧНАЯ ИЗ ПШЕННОЙ КРУПЫ</t>
  </si>
  <si>
    <t>173</t>
  </si>
  <si>
    <t>ЗАКРЫТЫЕ БУТЕРБРОДЫ С  ПОВИДЛОМ</t>
  </si>
  <si>
    <t>10</t>
  </si>
  <si>
    <t>СУП С КЛЕЦКАМИ</t>
  </si>
  <si>
    <t>6</t>
  </si>
  <si>
    <t>7 день</t>
  </si>
  <si>
    <t>ОВОЩИ НАТУРАЛЬНЫЕ СОЛЕНЫЕ /ПОМИДОРЫ/</t>
  </si>
  <si>
    <t>145</t>
  </si>
  <si>
    <t xml:space="preserve">САЛАТ ВИТАМИННЫЙ </t>
  </si>
  <si>
    <t>2022</t>
  </si>
  <si>
    <t xml:space="preserve">СУП ИЗ ОВОЩЕЙ </t>
  </si>
  <si>
    <t>99</t>
  </si>
  <si>
    <t>204</t>
  </si>
  <si>
    <t>7</t>
  </si>
  <si>
    <t>8 день</t>
  </si>
  <si>
    <t>ЗАПЕКАНКА ИЗ ТВОРОГА/МОЛОКО СГУЩ 180/20</t>
  </si>
  <si>
    <t>КОТЛЕТЫ РЫБНЫЕ/СОУС 100/25</t>
  </si>
  <si>
    <t>8</t>
  </si>
  <si>
    <t>9 день</t>
  </si>
  <si>
    <t xml:space="preserve">КОТЛЕТЫ ИЗ КУР РУБЛЕННЫЕ ЗАПЕЧЕННЫЕ С МОЛОЧНЫМ СОУСОМ/ СОУС </t>
  </si>
  <si>
    <t>НАПИТОК ИЗ ПЛОДОВ ШИПОВНИКА</t>
  </si>
  <si>
    <t>ЗАПЕКАНКА РИСОВАЯ СО СГУЩЕННЫМ МОЛОКОМ 180/20</t>
  </si>
  <si>
    <t>184.1</t>
  </si>
  <si>
    <t>9</t>
  </si>
  <si>
    <t>10 день</t>
  </si>
  <si>
    <t xml:space="preserve">СУП КАРТОФЕЛЬНЫЙ С БОБОВЫМИ </t>
  </si>
  <si>
    <t>ТЕФТЕЛИ МЯСНЫЕ С СОУСОМ  100/30</t>
  </si>
  <si>
    <t>278</t>
  </si>
  <si>
    <t>11 день</t>
  </si>
  <si>
    <t>СУП МОЛОЧНЫЙ С КЛЕЦКАМИ</t>
  </si>
  <si>
    <t>СОК ФРУКТОВЫЙ/ВИНОГРАДНЫЙ</t>
  </si>
  <si>
    <t>128</t>
  </si>
  <si>
    <t>355</t>
  </si>
  <si>
    <t>376</t>
  </si>
  <si>
    <t>11</t>
  </si>
  <si>
    <t>12 день</t>
  </si>
  <si>
    <t>САЛАТ ИЗ МОРКОВИ И ЯБЛОК</t>
  </si>
  <si>
    <t>ТТК 11</t>
  </si>
  <si>
    <t>ЗАПЕКАНКА КАРТОФЕЛЬНАЯ С КУРИЦЕЙ</t>
  </si>
  <si>
    <t>ТТК 12</t>
  </si>
  <si>
    <t xml:space="preserve">НАПИТОК ИЗ ПЛОДОВ ШИПОВНИКА </t>
  </si>
  <si>
    <t>388</t>
  </si>
  <si>
    <t>2008</t>
  </si>
  <si>
    <t>САЛАТ ИЗ СВЕКЛЫ С ЯБЛОКАМИ</t>
  </si>
  <si>
    <t>54</t>
  </si>
  <si>
    <t>СУП КРЕСТЬЯНСКИЙ С КРУПОЙ</t>
  </si>
  <si>
    <t>98</t>
  </si>
  <si>
    <t>ЗАПЕКАНКА ИЗ ТВОРОГА С МОРКОВЬЮ</t>
  </si>
  <si>
    <t>1*60/70</t>
  </si>
  <si>
    <t>12</t>
  </si>
  <si>
    <t>ООО "ВИТА ЛАЙН"</t>
  </si>
  <si>
    <t>ИТОГО ПО ПРИМЕРНОМУ МЕНЮ</t>
  </si>
  <si>
    <t>СУММАРНЫЕ ОБЪЕМЫ БЛЮД ПО ПРИЕМАМ ПИЩИ (В ГРАММАХ)</t>
  </si>
  <si>
    <t>ЗАПЕКАНКА КАРТОФЕЛЬНАЯ С СУБПРОДУКТАМИ /ПЕЧЕНЬ/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</si>
</sst>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6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Border="1"/>
    <xf numFmtId="0" fontId="6" fillId="0" borderId="0" xfId="0" applyFont="1" applyAlignment="1"/>
    <xf numFmtId="0" fontId="10" fillId="2" borderId="0" xfId="0" applyFont="1" applyFill="1"/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/>
    <xf numFmtId="0" fontId="11" fillId="2" borderId="0" xfId="0" applyFont="1" applyFill="1" applyBorder="1"/>
    <xf numFmtId="0" fontId="10" fillId="2" borderId="5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3" borderId="0" xfId="0" applyFont="1" applyFill="1" applyBorder="1" applyAlignment="1"/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1" fillId="2" borderId="0" xfId="0" applyNumberFormat="1" applyFont="1" applyFill="1"/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2" borderId="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2" fillId="2" borderId="0" xfId="0" applyNumberFormat="1" applyFont="1" applyFill="1"/>
    <xf numFmtId="0" fontId="10" fillId="2" borderId="0" xfId="0" applyFont="1" applyFill="1" applyBorder="1" applyAlignment="1">
      <alignment horizontal="right" vertical="top" wrapText="1"/>
    </xf>
    <xf numFmtId="0" fontId="13" fillId="0" borderId="0" xfId="0" applyFont="1"/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/>
    <xf numFmtId="1" fontId="10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4" fontId="10" fillId="0" borderId="0" xfId="0" applyNumberFormat="1" applyFont="1"/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6" fillId="0" borderId="3" xfId="0" applyFont="1" applyBorder="1"/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0" fillId="0" borderId="0" xfId="0" applyAlignment="1"/>
    <xf numFmtId="0" fontId="9" fillId="0" borderId="0" xfId="0" applyFont="1" applyBorder="1" applyAlignment="1"/>
    <xf numFmtId="0" fontId="11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33" sqref="E33:E35"/>
    </sheetView>
  </sheetViews>
  <sheetFormatPr defaultColWidth="8.85546875" defaultRowHeight="15"/>
  <cols>
    <col min="1" max="1" width="6" style="23" customWidth="1"/>
    <col min="2" max="2" width="82" style="23" customWidth="1"/>
    <col min="3" max="3" width="8.85546875" style="23"/>
    <col min="4" max="4" width="13.42578125" style="77" customWidth="1"/>
    <col min="5" max="5" width="8.85546875" style="54"/>
    <col min="6" max="16384" width="8.85546875" style="23"/>
  </cols>
  <sheetData>
    <row r="1" spans="1:8" s="28" customFormat="1" ht="26.25" customHeight="1">
      <c r="A1" s="4" t="s">
        <v>17</v>
      </c>
      <c r="B1" s="4"/>
      <c r="C1" s="4"/>
      <c r="D1" s="163" t="s">
        <v>13</v>
      </c>
      <c r="E1" s="164"/>
    </row>
    <row r="2" spans="1:8" s="28" customFormat="1" ht="26.25" customHeight="1">
      <c r="A2" s="4" t="s">
        <v>14</v>
      </c>
      <c r="B2" s="4"/>
      <c r="C2" s="165" t="s">
        <v>66</v>
      </c>
      <c r="D2" s="166"/>
      <c r="E2" s="166"/>
    </row>
    <row r="3" spans="1:8" s="28" customFormat="1" ht="26.25" customHeight="1">
      <c r="A3" s="4" t="s">
        <v>15</v>
      </c>
      <c r="B3" s="4"/>
      <c r="C3" s="165" t="s">
        <v>65</v>
      </c>
      <c r="D3" s="166"/>
      <c r="E3" s="166"/>
    </row>
    <row r="4" spans="1:8" s="28" customFormat="1" ht="26.25" customHeight="1">
      <c r="A4" s="4" t="s">
        <v>63</v>
      </c>
      <c r="B4" s="4"/>
      <c r="C4" s="165" t="s">
        <v>64</v>
      </c>
      <c r="D4" s="167"/>
      <c r="E4" s="166"/>
    </row>
    <row r="6" spans="1:8" s="29" customFormat="1" ht="28.35" customHeight="1">
      <c r="B6" s="168" t="s">
        <v>151</v>
      </c>
      <c r="C6" s="168"/>
      <c r="D6" s="168"/>
      <c r="E6" s="45"/>
    </row>
    <row r="7" spans="1:8" s="29" customFormat="1" ht="13.35" customHeight="1">
      <c r="A7" s="172" t="s">
        <v>16</v>
      </c>
      <c r="B7" s="169" t="s">
        <v>0</v>
      </c>
      <c r="C7" s="162" t="s">
        <v>1</v>
      </c>
      <c r="D7" s="170" t="s">
        <v>2</v>
      </c>
      <c r="E7" s="162" t="s">
        <v>70</v>
      </c>
    </row>
    <row r="8" spans="1:8" s="29" customFormat="1" ht="26.65" customHeight="1">
      <c r="A8" s="173"/>
      <c r="B8" s="169"/>
      <c r="C8" s="162"/>
      <c r="D8" s="170"/>
      <c r="E8" s="162"/>
    </row>
    <row r="9" spans="1:8" s="29" customFormat="1" ht="12.2" customHeight="1">
      <c r="A9" s="30">
        <v>1</v>
      </c>
      <c r="B9" s="128" t="s">
        <v>71</v>
      </c>
      <c r="C9" s="103">
        <v>200</v>
      </c>
      <c r="D9" s="88">
        <f>260*200/210</f>
        <v>247.61904761904762</v>
      </c>
      <c r="E9" s="31">
        <v>34</v>
      </c>
    </row>
    <row r="10" spans="1:8" s="29" customFormat="1" ht="12.2" customHeight="1">
      <c r="A10" s="30">
        <v>2</v>
      </c>
      <c r="B10" s="128" t="s">
        <v>3</v>
      </c>
      <c r="C10" s="103">
        <v>30</v>
      </c>
      <c r="D10" s="9">
        <v>108</v>
      </c>
      <c r="E10" s="31">
        <v>20</v>
      </c>
    </row>
    <row r="11" spans="1:8" s="29" customFormat="1" ht="12.2" customHeight="1">
      <c r="A11" s="30">
        <v>3</v>
      </c>
      <c r="B11" s="128" t="s">
        <v>4</v>
      </c>
      <c r="C11" s="103">
        <v>180</v>
      </c>
      <c r="D11" s="9">
        <f>81*180/200</f>
        <v>72.900000000000006</v>
      </c>
      <c r="E11" s="31">
        <v>10</v>
      </c>
    </row>
    <row r="12" spans="1:8" s="29" customFormat="1" ht="12.2" customHeight="1">
      <c r="A12" s="30">
        <v>4</v>
      </c>
      <c r="B12" s="128" t="s">
        <v>72</v>
      </c>
      <c r="C12" s="103">
        <v>100</v>
      </c>
      <c r="D12" s="88">
        <v>56.4</v>
      </c>
      <c r="E12" s="31">
        <v>10</v>
      </c>
    </row>
    <row r="13" spans="1:8" s="29" customFormat="1" ht="12.2" customHeight="1">
      <c r="A13" s="30">
        <v>5</v>
      </c>
      <c r="B13" s="128" t="s">
        <v>5</v>
      </c>
      <c r="C13" s="103">
        <v>30</v>
      </c>
      <c r="D13" s="88">
        <v>142.1</v>
      </c>
      <c r="E13" s="31">
        <v>3</v>
      </c>
    </row>
    <row r="14" spans="1:8" s="29" customFormat="1" ht="12.2" customHeight="1">
      <c r="A14" s="30">
        <v>6</v>
      </c>
      <c r="B14" s="128" t="s">
        <v>6</v>
      </c>
      <c r="C14" s="103">
        <v>20</v>
      </c>
      <c r="D14" s="88">
        <v>46</v>
      </c>
      <c r="E14" s="31">
        <v>3</v>
      </c>
    </row>
    <row r="15" spans="1:8" s="33" customFormat="1" ht="12.2" customHeight="1">
      <c r="A15" s="31"/>
      <c r="B15" s="129" t="s">
        <v>7</v>
      </c>
      <c r="C15" s="107">
        <f>SUM(C9:C14)</f>
        <v>560</v>
      </c>
      <c r="D15" s="108">
        <f t="shared" ref="D15" si="0">SUM(D9:D14)</f>
        <v>673.01904761904757</v>
      </c>
      <c r="E15" s="31">
        <f>SUM(E9:E14)</f>
        <v>80</v>
      </c>
      <c r="G15" s="66">
        <f>E15+'2Д 1Н'!E15+'3Д 1Н'!E14+'4Д 1Н'!E16+'5Д 1Н'!E16+'6Д 1 Н'!E16+'1Д 2Н'!E17+'2Д 2Н'!E16+'3Д 2Н'!E17+'4 Д 2Н'!E17+'5 Д2Н'!E17+'6Д 2Н'!E16</f>
        <v>1072</v>
      </c>
      <c r="H15" s="33">
        <v>89.37</v>
      </c>
    </row>
    <row r="16" spans="1:8" s="33" customFormat="1" ht="12.2" customHeight="1">
      <c r="A16" s="34"/>
      <c r="B16" s="35"/>
      <c r="C16" s="36"/>
      <c r="D16" s="42"/>
      <c r="E16" s="55"/>
    </row>
    <row r="17" spans="1:8" s="33" customFormat="1" ht="12.2" customHeight="1">
      <c r="A17" s="34"/>
      <c r="B17" s="35"/>
      <c r="C17" s="36"/>
      <c r="D17" s="42"/>
      <c r="E17" s="55"/>
      <c r="G17" s="33">
        <f>G15/12</f>
        <v>89.333333333333329</v>
      </c>
    </row>
    <row r="18" spans="1:8" s="29" customFormat="1" ht="28.35" customHeight="1">
      <c r="B18" s="168" t="s">
        <v>152</v>
      </c>
      <c r="C18" s="168"/>
      <c r="D18" s="168"/>
      <c r="E18" s="45"/>
    </row>
    <row r="19" spans="1:8" s="29" customFormat="1" ht="13.35" customHeight="1">
      <c r="A19" s="172" t="s">
        <v>16</v>
      </c>
      <c r="B19" s="169" t="s">
        <v>0</v>
      </c>
      <c r="C19" s="162" t="s">
        <v>1</v>
      </c>
      <c r="D19" s="170" t="s">
        <v>2</v>
      </c>
      <c r="E19" s="162" t="s">
        <v>70</v>
      </c>
    </row>
    <row r="20" spans="1:8" s="29" customFormat="1" ht="26.65" customHeight="1" thickBot="1">
      <c r="A20" s="173"/>
      <c r="B20" s="169"/>
      <c r="C20" s="162"/>
      <c r="D20" s="170"/>
      <c r="E20" s="162"/>
    </row>
    <row r="21" spans="1:8" s="29" customFormat="1" ht="12.2" customHeight="1">
      <c r="A21" s="30">
        <v>1</v>
      </c>
      <c r="B21" s="128" t="s">
        <v>8</v>
      </c>
      <c r="C21" s="111">
        <v>100</v>
      </c>
      <c r="D21" s="88">
        <f>1338*0.1</f>
        <v>133.80000000000001</v>
      </c>
      <c r="E21" s="70">
        <v>12</v>
      </c>
    </row>
    <row r="22" spans="1:8" s="29" customFormat="1" ht="12.2" customHeight="1">
      <c r="A22" s="30">
        <v>2</v>
      </c>
      <c r="B22" s="128" t="s">
        <v>9</v>
      </c>
      <c r="C22" s="111">
        <v>250</v>
      </c>
      <c r="D22" s="88">
        <f>415*0.25</f>
        <v>103.75</v>
      </c>
      <c r="E22" s="71">
        <v>22</v>
      </c>
    </row>
    <row r="23" spans="1:8" s="29" customFormat="1" ht="12.2" customHeight="1">
      <c r="A23" s="30">
        <v>3</v>
      </c>
      <c r="B23" s="128" t="s">
        <v>10</v>
      </c>
      <c r="C23" s="111">
        <v>180</v>
      </c>
      <c r="D23" s="88">
        <f>220*180/160</f>
        <v>247.5</v>
      </c>
      <c r="E23" s="71">
        <v>15</v>
      </c>
    </row>
    <row r="24" spans="1:8" s="29" customFormat="1" ht="12.2" customHeight="1">
      <c r="A24" s="30">
        <v>4</v>
      </c>
      <c r="B24" s="128" t="s">
        <v>163</v>
      </c>
      <c r="C24" s="111">
        <v>115</v>
      </c>
      <c r="D24" s="88">
        <f>128*115/55</f>
        <v>267.63636363636363</v>
      </c>
      <c r="E24" s="71">
        <v>40.799999999999997</v>
      </c>
    </row>
    <row r="25" spans="1:8" s="29" customFormat="1" ht="12.2" customHeight="1">
      <c r="A25" s="30">
        <v>5</v>
      </c>
      <c r="B25" s="128" t="s">
        <v>11</v>
      </c>
      <c r="C25" s="111">
        <v>180</v>
      </c>
      <c r="D25" s="9">
        <f>83.4*180/200</f>
        <v>75.06</v>
      </c>
      <c r="E25" s="71">
        <v>10</v>
      </c>
    </row>
    <row r="26" spans="1:8" s="29" customFormat="1" ht="12.2" customHeight="1">
      <c r="A26" s="30">
        <v>6</v>
      </c>
      <c r="B26" s="128" t="s">
        <v>5</v>
      </c>
      <c r="C26" s="111">
        <v>30</v>
      </c>
      <c r="D26" s="102">
        <v>71</v>
      </c>
      <c r="E26" s="71">
        <v>3</v>
      </c>
    </row>
    <row r="27" spans="1:8" s="29" customFormat="1" ht="12.2" customHeight="1">
      <c r="A27" s="30">
        <v>7</v>
      </c>
      <c r="B27" s="128" t="s">
        <v>6</v>
      </c>
      <c r="C27" s="111">
        <v>30</v>
      </c>
      <c r="D27" s="102">
        <v>61.2</v>
      </c>
      <c r="E27" s="71">
        <f>3*30/20</f>
        <v>4.5</v>
      </c>
    </row>
    <row r="28" spans="1:8" s="33" customFormat="1" ht="21.6" customHeight="1" thickBot="1">
      <c r="A28" s="37"/>
      <c r="B28" s="129" t="s">
        <v>7</v>
      </c>
      <c r="C28" s="112">
        <f>SUM(C21:C27)</f>
        <v>885</v>
      </c>
      <c r="D28" s="108">
        <f t="shared" ref="D28" si="1">SUM(D21:D27)</f>
        <v>959.94636363636369</v>
      </c>
      <c r="E28" s="69">
        <f>E21+E22+E23+E24+E25+E26+E27</f>
        <v>107.3</v>
      </c>
      <c r="G28" s="66">
        <f>E28+'2Д 1Н'!E28+'3Д 1Н'!E26+'4Д 1Н'!E28+'5Д 1Н'!E28+'6Д 1 Н'!E28+'1Д 2Н'!E31+'2Д 2Н'!E29+'3Д 2Н'!E31+'4 Д 2Н'!E29+'5 Д2Н'!E31+'6Д 2Н'!E28</f>
        <v>1488.37</v>
      </c>
      <c r="H28" s="33">
        <v>124.04</v>
      </c>
    </row>
    <row r="29" spans="1:8" s="33" customFormat="1" ht="21.6" customHeight="1">
      <c r="A29" s="38"/>
      <c r="B29" s="35"/>
      <c r="C29" s="36"/>
      <c r="D29" s="42"/>
      <c r="E29" s="55"/>
    </row>
    <row r="30" spans="1:8" s="29" customFormat="1" ht="28.35" customHeight="1">
      <c r="B30" s="168" t="s">
        <v>153</v>
      </c>
      <c r="C30" s="168"/>
      <c r="D30" s="168"/>
      <c r="E30" s="45"/>
      <c r="G30" s="29">
        <f>G28/12</f>
        <v>124.03083333333332</v>
      </c>
    </row>
    <row r="31" spans="1:8" s="29" customFormat="1" ht="13.35" customHeight="1">
      <c r="A31" s="172" t="s">
        <v>16</v>
      </c>
      <c r="B31" s="169" t="s">
        <v>0</v>
      </c>
      <c r="C31" s="162" t="s">
        <v>1</v>
      </c>
      <c r="D31" s="170" t="s">
        <v>2</v>
      </c>
      <c r="E31" s="162" t="s">
        <v>70</v>
      </c>
    </row>
    <row r="32" spans="1:8" s="29" customFormat="1" ht="26.65" customHeight="1">
      <c r="A32" s="173"/>
      <c r="B32" s="169"/>
      <c r="C32" s="162"/>
      <c r="D32" s="170"/>
      <c r="E32" s="162"/>
    </row>
    <row r="33" spans="1:8" s="29" customFormat="1" ht="12.2" customHeight="1">
      <c r="A33" s="30">
        <v>1</v>
      </c>
      <c r="B33" s="128" t="s">
        <v>248</v>
      </c>
      <c r="C33" s="103">
        <v>200</v>
      </c>
      <c r="D33" s="88">
        <f>206*200/145</f>
        <v>284.13793103448273</v>
      </c>
      <c r="E33" s="31">
        <f>51.47-13</f>
        <v>38.47</v>
      </c>
    </row>
    <row r="34" spans="1:8" s="29" customFormat="1" ht="12.2" customHeight="1">
      <c r="A34" s="30">
        <v>2</v>
      </c>
      <c r="B34" s="128" t="s">
        <v>5</v>
      </c>
      <c r="C34" s="103">
        <v>30</v>
      </c>
      <c r="D34" s="136">
        <v>106</v>
      </c>
      <c r="E34" s="31">
        <v>3</v>
      </c>
    </row>
    <row r="35" spans="1:8" s="29" customFormat="1" ht="12.2" customHeight="1">
      <c r="A35" s="39">
        <v>3</v>
      </c>
      <c r="B35" s="128" t="s">
        <v>73</v>
      </c>
      <c r="C35" s="103">
        <v>180</v>
      </c>
      <c r="D35" s="14">
        <f>106*180/200</f>
        <v>95.4</v>
      </c>
      <c r="E35" s="31">
        <v>10</v>
      </c>
    </row>
    <row r="36" spans="1:8" s="33" customFormat="1" ht="21.6" customHeight="1">
      <c r="A36" s="37"/>
      <c r="B36" s="129" t="s">
        <v>7</v>
      </c>
      <c r="C36" s="114">
        <f t="shared" ref="C36:D36" si="2">SUM(C33:C35)</f>
        <v>410</v>
      </c>
      <c r="D36" s="108">
        <f t="shared" si="2"/>
        <v>485.53793103448277</v>
      </c>
      <c r="E36" s="73">
        <f t="shared" ref="E36" si="3">SUM(E33:E35)</f>
        <v>51.47</v>
      </c>
      <c r="H36" s="33">
        <v>51.47</v>
      </c>
    </row>
    <row r="37" spans="1:8" s="33" customFormat="1" ht="21.6" customHeight="1">
      <c r="A37" s="38"/>
      <c r="B37" s="35"/>
      <c r="C37" s="41"/>
      <c r="D37" s="42"/>
      <c r="E37" s="46"/>
    </row>
    <row r="38" spans="1:8" s="33" customFormat="1" ht="21.6" customHeight="1">
      <c r="A38" s="38" t="s">
        <v>67</v>
      </c>
      <c r="B38" s="35"/>
      <c r="C38" s="41"/>
      <c r="D38" s="42"/>
      <c r="E38" s="46"/>
    </row>
    <row r="39" spans="1:8" s="29" customFormat="1" ht="21.6" customHeight="1">
      <c r="A39" s="171" t="s">
        <v>74</v>
      </c>
      <c r="B39" s="166"/>
      <c r="C39" s="166"/>
      <c r="D39" s="166"/>
      <c r="E39" s="166"/>
      <c r="F39" s="34"/>
    </row>
    <row r="40" spans="1:8">
      <c r="A40" s="78" t="s">
        <v>75</v>
      </c>
      <c r="D40" s="91"/>
      <c r="E40" s="77"/>
      <c r="F40" s="54"/>
    </row>
  </sheetData>
  <mergeCells count="23">
    <mergeCell ref="A7:A8"/>
    <mergeCell ref="B18:D18"/>
    <mergeCell ref="B30:D30"/>
    <mergeCell ref="A19:A20"/>
    <mergeCell ref="B19:B20"/>
    <mergeCell ref="C19:C20"/>
    <mergeCell ref="D19:D20"/>
    <mergeCell ref="A39:E39"/>
    <mergeCell ref="A31:A32"/>
    <mergeCell ref="B31:B32"/>
    <mergeCell ref="C31:C32"/>
    <mergeCell ref="D31:D32"/>
    <mergeCell ref="E7:E8"/>
    <mergeCell ref="E19:E20"/>
    <mergeCell ref="E31:E32"/>
    <mergeCell ref="D1:E1"/>
    <mergeCell ref="C2:E2"/>
    <mergeCell ref="C3:E3"/>
    <mergeCell ref="C4:E4"/>
    <mergeCell ref="B6:D6"/>
    <mergeCell ref="B7:B8"/>
    <mergeCell ref="C7:C8"/>
    <mergeCell ref="D7:D8"/>
  </mergeCells>
  <pageMargins left="0.70866141732283472" right="0.70866141732283472" top="0.3937007874015748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topLeftCell="A40" workbookViewId="0">
      <selection activeCell="B32" sqref="B32:D32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5" width="10.5703125" style="23" customWidth="1"/>
    <col min="6" max="16384" width="8.85546875" style="23"/>
  </cols>
  <sheetData>
    <row r="1" spans="1:5">
      <c r="A1" s="23" t="str">
        <f>'1 Д 1 Н'!A1</f>
        <v>Утверждаю</v>
      </c>
      <c r="D1" s="98" t="str">
        <f>'5Д 1Н'!D1</f>
        <v>Согласовано</v>
      </c>
    </row>
    <row r="2" spans="1:5">
      <c r="A2" s="23" t="str">
        <f>'1 Д 1 Н'!A2</f>
        <v>Директор ООО "ВитаЛайн"</v>
      </c>
      <c r="D2" s="98" t="str">
        <f>'5Д 1Н'!D2</f>
        <v>Директор МБОУ _____________</v>
      </c>
    </row>
    <row r="3" spans="1:5">
      <c r="A3" s="23" t="str">
        <f>'1 Д 1 Н'!A3</f>
        <v>_____________Н.Н.Клоков</v>
      </c>
      <c r="D3" s="98" t="str">
        <f>'5Д 1Н'!D3</f>
        <v>______________/______________/</v>
      </c>
    </row>
    <row r="4" spans="1:5">
      <c r="A4" s="23" t="str">
        <f>'1 Д 1 Н'!A4</f>
        <v>"___"______________2023 г</v>
      </c>
      <c r="D4" s="98" t="str">
        <f>'5Д 1Н'!D4</f>
        <v>"_____"__________________2023 г.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72" t="s">
        <v>27</v>
      </c>
      <c r="B9" s="162" t="s">
        <v>0</v>
      </c>
      <c r="C9" s="162" t="s">
        <v>1</v>
      </c>
      <c r="D9" s="162" t="s">
        <v>2</v>
      </c>
      <c r="E9" s="188" t="s">
        <v>70</v>
      </c>
    </row>
    <row r="10" spans="1:5" ht="15.75" thickBot="1">
      <c r="A10" s="173"/>
      <c r="B10" s="162"/>
      <c r="C10" s="187"/>
      <c r="D10" s="187"/>
      <c r="E10" s="188"/>
    </row>
    <row r="11" spans="1:5" ht="30">
      <c r="A11" s="30">
        <v>1</v>
      </c>
      <c r="B11" s="128" t="s">
        <v>55</v>
      </c>
      <c r="C11" s="103">
        <v>200</v>
      </c>
      <c r="D11" s="94">
        <f>186*200/135</f>
        <v>275.55555555555554</v>
      </c>
      <c r="E11" s="59">
        <v>43</v>
      </c>
    </row>
    <row r="12" spans="1:5">
      <c r="A12" s="30">
        <v>2</v>
      </c>
      <c r="B12" s="128" t="s">
        <v>84</v>
      </c>
      <c r="C12" s="103">
        <v>100</v>
      </c>
      <c r="D12" s="9">
        <f>107*100/75</f>
        <v>142.66666666666666</v>
      </c>
      <c r="E12" s="60">
        <v>10</v>
      </c>
    </row>
    <row r="13" spans="1:5">
      <c r="A13" s="30">
        <v>3</v>
      </c>
      <c r="B13" s="128" t="s">
        <v>41</v>
      </c>
      <c r="C13" s="103">
        <v>180</v>
      </c>
      <c r="D13" s="14">
        <f>503*0.18</f>
        <v>90.539999999999992</v>
      </c>
      <c r="E13" s="60">
        <v>10</v>
      </c>
    </row>
    <row r="14" spans="1:5">
      <c r="A14" s="30">
        <v>4</v>
      </c>
      <c r="B14" s="128" t="s">
        <v>85</v>
      </c>
      <c r="C14" s="103">
        <v>65</v>
      </c>
      <c r="D14" s="9">
        <v>156</v>
      </c>
      <c r="E14" s="60">
        <v>20</v>
      </c>
    </row>
    <row r="15" spans="1:5">
      <c r="A15" s="30">
        <v>6</v>
      </c>
      <c r="B15" s="128" t="s">
        <v>5</v>
      </c>
      <c r="C15" s="103">
        <v>40</v>
      </c>
      <c r="D15" s="102">
        <v>94.7</v>
      </c>
      <c r="E15" s="60">
        <v>4</v>
      </c>
    </row>
    <row r="16" spans="1:5" s="26" customFormat="1">
      <c r="A16" s="150"/>
      <c r="B16" s="138" t="s">
        <v>6</v>
      </c>
      <c r="C16" s="139">
        <v>20</v>
      </c>
      <c r="D16" s="140">
        <v>40.799999999999997</v>
      </c>
      <c r="E16" s="147">
        <v>3</v>
      </c>
    </row>
    <row r="17" spans="1:5">
      <c r="A17" s="141"/>
      <c r="B17" s="142" t="s">
        <v>7</v>
      </c>
      <c r="C17" s="146">
        <f>SUM(C11:C16)</f>
        <v>605</v>
      </c>
      <c r="D17" s="144">
        <f t="shared" ref="D17:E17" si="0">SUM(D11:D16)</f>
        <v>800.26222222222214</v>
      </c>
      <c r="E17" s="144">
        <f t="shared" si="0"/>
        <v>90</v>
      </c>
    </row>
    <row r="18" spans="1:5">
      <c r="A18" s="29"/>
      <c r="B18" s="48"/>
      <c r="C18" s="50"/>
      <c r="D18" s="76"/>
      <c r="E18" s="26"/>
    </row>
    <row r="19" spans="1:5" s="29" customFormat="1" ht="28.35" customHeight="1">
      <c r="B19" s="168" t="s">
        <v>152</v>
      </c>
      <c r="C19" s="168"/>
      <c r="D19" s="168"/>
      <c r="E19" s="45"/>
    </row>
    <row r="20" spans="1:5">
      <c r="A20" s="185" t="s">
        <v>27</v>
      </c>
      <c r="B20" s="169" t="s">
        <v>0</v>
      </c>
      <c r="C20" s="162" t="s">
        <v>1</v>
      </c>
      <c r="D20" s="162" t="s">
        <v>2</v>
      </c>
      <c r="E20" s="188" t="s">
        <v>70</v>
      </c>
    </row>
    <row r="21" spans="1:5" ht="15.75" thickBot="1">
      <c r="A21" s="186"/>
      <c r="B21" s="169"/>
      <c r="C21" s="162"/>
      <c r="D21" s="162"/>
      <c r="E21" s="188"/>
    </row>
    <row r="22" spans="1:5" ht="30">
      <c r="A22" s="51">
        <v>1</v>
      </c>
      <c r="B22" s="128" t="s">
        <v>56</v>
      </c>
      <c r="C22" s="111">
        <v>100</v>
      </c>
      <c r="D22" s="149">
        <f>901*0.1</f>
        <v>90.100000000000009</v>
      </c>
      <c r="E22" s="63">
        <v>12</v>
      </c>
    </row>
    <row r="23" spans="1:5">
      <c r="A23" s="30">
        <v>2</v>
      </c>
      <c r="B23" s="128" t="s">
        <v>220</v>
      </c>
      <c r="C23" s="111">
        <v>250</v>
      </c>
      <c r="D23" s="94">
        <f>593*0.25</f>
        <v>148.25</v>
      </c>
      <c r="E23" s="60">
        <v>22</v>
      </c>
    </row>
    <row r="24" spans="1:5">
      <c r="A24" s="30">
        <v>3</v>
      </c>
      <c r="B24" s="128" t="s">
        <v>57</v>
      </c>
      <c r="C24" s="111">
        <v>180</v>
      </c>
      <c r="D24" s="94">
        <f>1625*0.18</f>
        <v>292.5</v>
      </c>
      <c r="E24" s="60">
        <v>20</v>
      </c>
    </row>
    <row r="25" spans="1:5">
      <c r="A25" s="30">
        <v>4</v>
      </c>
      <c r="B25" s="128" t="s">
        <v>221</v>
      </c>
      <c r="C25" s="111">
        <v>130</v>
      </c>
      <c r="D25" s="94">
        <f>151*100/110</f>
        <v>137.27272727272728</v>
      </c>
      <c r="E25" s="60">
        <v>45</v>
      </c>
    </row>
    <row r="26" spans="1:5" ht="30">
      <c r="A26" s="30">
        <v>5</v>
      </c>
      <c r="B26" s="128" t="s">
        <v>73</v>
      </c>
      <c r="C26" s="111">
        <v>180</v>
      </c>
      <c r="D26" s="94">
        <v>95.4</v>
      </c>
      <c r="E26" s="60">
        <v>10</v>
      </c>
    </row>
    <row r="27" spans="1:5">
      <c r="A27" s="30">
        <v>6</v>
      </c>
      <c r="B27" s="128" t="s">
        <v>5</v>
      </c>
      <c r="C27" s="111">
        <v>50</v>
      </c>
      <c r="D27" s="102">
        <v>118.4</v>
      </c>
      <c r="E27" s="60">
        <v>5</v>
      </c>
    </row>
    <row r="28" spans="1:5">
      <c r="A28" s="30">
        <v>7</v>
      </c>
      <c r="B28" s="128" t="s">
        <v>6</v>
      </c>
      <c r="C28" s="111">
        <v>30</v>
      </c>
      <c r="D28" s="102">
        <v>61.2</v>
      </c>
      <c r="E28" s="60">
        <v>4.5</v>
      </c>
    </row>
    <row r="29" spans="1:5" s="26" customFormat="1" thickBot="1">
      <c r="A29" s="31"/>
      <c r="B29" s="129" t="s">
        <v>7</v>
      </c>
      <c r="C29" s="112">
        <f>SUM(C22:C28)</f>
        <v>920</v>
      </c>
      <c r="D29" s="108">
        <f t="shared" ref="D29" si="1">SUM(D22:D28)</f>
        <v>943.12272727272727</v>
      </c>
      <c r="E29" s="69">
        <f>SUM(E22:E28)</f>
        <v>118.5</v>
      </c>
    </row>
    <row r="30" spans="1:5">
      <c r="A30" s="29"/>
      <c r="B30" s="48"/>
      <c r="C30" s="50"/>
      <c r="D30" s="76"/>
    </row>
    <row r="31" spans="1:5">
      <c r="A31" s="29"/>
      <c r="B31" s="48"/>
      <c r="C31" s="50"/>
      <c r="D31" s="76"/>
      <c r="E31" s="26"/>
    </row>
    <row r="32" spans="1:5" s="29" customFormat="1" ht="28.35" customHeight="1">
      <c r="B32" s="168" t="s">
        <v>153</v>
      </c>
      <c r="C32" s="168"/>
      <c r="D32" s="168"/>
      <c r="E32" s="45"/>
    </row>
    <row r="33" spans="1:6">
      <c r="A33" s="183" t="s">
        <v>27</v>
      </c>
      <c r="B33" s="162" t="s">
        <v>0</v>
      </c>
      <c r="C33" s="162" t="s">
        <v>1</v>
      </c>
      <c r="D33" s="162" t="s">
        <v>2</v>
      </c>
      <c r="E33" s="188" t="s">
        <v>70</v>
      </c>
    </row>
    <row r="34" spans="1:6">
      <c r="A34" s="184"/>
      <c r="B34" s="187"/>
      <c r="C34" s="187"/>
      <c r="D34" s="187"/>
      <c r="E34" s="196"/>
    </row>
    <row r="35" spans="1:6" ht="30">
      <c r="A35" s="97">
        <v>1</v>
      </c>
      <c r="B35" s="152" t="s">
        <v>58</v>
      </c>
      <c r="C35" s="153">
        <v>200</v>
      </c>
      <c r="D35" s="154">
        <f>161.4*200/180</f>
        <v>179.33333333333334</v>
      </c>
      <c r="E35" s="64">
        <f>51.47-15</f>
        <v>36.47</v>
      </c>
    </row>
    <row r="36" spans="1:6">
      <c r="A36" s="96">
        <v>2</v>
      </c>
      <c r="B36" s="152" t="s">
        <v>59</v>
      </c>
      <c r="C36" s="153">
        <v>180</v>
      </c>
      <c r="D36" s="71">
        <f>146.6*180/200</f>
        <v>131.94</v>
      </c>
      <c r="E36" s="64">
        <v>10</v>
      </c>
    </row>
    <row r="37" spans="1:6">
      <c r="A37" s="96">
        <v>3</v>
      </c>
      <c r="B37" s="152" t="s">
        <v>5</v>
      </c>
      <c r="C37" s="153">
        <v>20</v>
      </c>
      <c r="D37" s="154">
        <v>47.4</v>
      </c>
      <c r="E37" s="64">
        <v>2</v>
      </c>
    </row>
    <row r="38" spans="1:6" s="26" customFormat="1">
      <c r="A38" s="31"/>
      <c r="B38" s="152" t="s">
        <v>6</v>
      </c>
      <c r="C38" s="153">
        <v>20</v>
      </c>
      <c r="D38" s="155">
        <v>40.799999999999997</v>
      </c>
      <c r="E38" s="64">
        <v>3</v>
      </c>
    </row>
    <row r="39" spans="1:6">
      <c r="A39" s="37"/>
      <c r="B39" s="142" t="s">
        <v>7</v>
      </c>
      <c r="C39" s="146">
        <f>SUM(C35:C38)</f>
        <v>420</v>
      </c>
      <c r="D39" s="144">
        <f>SUM(D35:D38)</f>
        <v>399.4733333333333</v>
      </c>
      <c r="E39" s="144">
        <f>SUM(E35:E38)</f>
        <v>51.47</v>
      </c>
    </row>
    <row r="40" spans="1:6">
      <c r="A40" s="23" t="str">
        <f>'1 Д 1 Н'!A38</f>
        <v xml:space="preserve">    Заведующий производством  _______________/  ______________/                              /</v>
      </c>
    </row>
    <row r="41" spans="1:6" s="29" customFormat="1" ht="21.6" customHeight="1">
      <c r="A41" s="171" t="s">
        <v>74</v>
      </c>
      <c r="B41" s="166"/>
      <c r="C41" s="166"/>
      <c r="D41" s="166"/>
      <c r="E41" s="166"/>
      <c r="F41" s="34"/>
    </row>
    <row r="42" spans="1:6">
      <c r="A42" s="78" t="s">
        <v>75</v>
      </c>
      <c r="E42" s="77"/>
      <c r="F42" s="54"/>
    </row>
  </sheetData>
  <mergeCells count="19">
    <mergeCell ref="B8:D8"/>
    <mergeCell ref="A9:A10"/>
    <mergeCell ref="B9:B10"/>
    <mergeCell ref="C9:C10"/>
    <mergeCell ref="D9:D10"/>
    <mergeCell ref="A41:E41"/>
    <mergeCell ref="E9:E10"/>
    <mergeCell ref="E20:E21"/>
    <mergeCell ref="E33:E34"/>
    <mergeCell ref="A33:A34"/>
    <mergeCell ref="B33:B34"/>
    <mergeCell ref="C33:C34"/>
    <mergeCell ref="D33:D34"/>
    <mergeCell ref="B19:D19"/>
    <mergeCell ref="A20:A21"/>
    <mergeCell ref="B20:B21"/>
    <mergeCell ref="C20:C21"/>
    <mergeCell ref="D20:D21"/>
    <mergeCell ref="B32:D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topLeftCell="A22" workbookViewId="0">
      <selection activeCell="B33" sqref="B33:D33"/>
    </sheetView>
  </sheetViews>
  <sheetFormatPr defaultRowHeight="15"/>
  <cols>
    <col min="1" max="1" width="5.7109375" customWidth="1"/>
    <col min="2" max="2" width="43" customWidth="1"/>
    <col min="3" max="3" width="16" customWidth="1"/>
    <col min="4" max="4" width="20.5703125" style="95" customWidth="1"/>
    <col min="5" max="5" width="15.140625" customWidth="1"/>
  </cols>
  <sheetData>
    <row r="1" spans="1:5">
      <c r="A1" t="str">
        <f>'1 Д 1 Н'!A1</f>
        <v>Утверждаю</v>
      </c>
      <c r="D1" s="95" t="str">
        <f>'5Д 1Н'!D1</f>
        <v>Согласовано</v>
      </c>
    </row>
    <row r="2" spans="1:5">
      <c r="A2" t="str">
        <f>'1 Д 1 Н'!A2</f>
        <v>Директор ООО "ВитаЛайн"</v>
      </c>
      <c r="D2" s="95" t="str">
        <f>'5Д 1Н'!D2</f>
        <v>Директор МБОУ _____________</v>
      </c>
    </row>
    <row r="3" spans="1:5">
      <c r="A3" t="str">
        <f>'1 Д 1 Н'!A3</f>
        <v>_____________Н.Н.Клоков</v>
      </c>
      <c r="D3" s="95" t="str">
        <f>'5Д 1Н'!D3</f>
        <v>______________/______________/</v>
      </c>
    </row>
    <row r="4" spans="1:5">
      <c r="A4" t="str">
        <f>'1 Д 1 Н'!A4</f>
        <v>"___"______________2023 г</v>
      </c>
      <c r="D4" s="95" t="str">
        <f>'5Д 1Н'!D4</f>
        <v>"_____"__________________2023 г.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94" t="s">
        <v>27</v>
      </c>
      <c r="B9" s="191" t="s">
        <v>0</v>
      </c>
      <c r="C9" s="191" t="s">
        <v>1</v>
      </c>
      <c r="D9" s="191" t="s">
        <v>2</v>
      </c>
      <c r="E9" s="188" t="s">
        <v>70</v>
      </c>
    </row>
    <row r="10" spans="1:5" ht="15.75" thickBot="1">
      <c r="A10" s="199"/>
      <c r="B10" s="191"/>
      <c r="C10" s="191"/>
      <c r="D10" s="191"/>
      <c r="E10" s="188"/>
    </row>
    <row r="11" spans="1:5" ht="30">
      <c r="A11" s="5">
        <v>1</v>
      </c>
      <c r="B11" s="128" t="s">
        <v>37</v>
      </c>
      <c r="C11" s="103">
        <v>100</v>
      </c>
      <c r="D11" s="94">
        <f>1340*0.1</f>
        <v>134</v>
      </c>
      <c r="E11" s="59">
        <v>12</v>
      </c>
    </row>
    <row r="12" spans="1:5">
      <c r="A12" s="5">
        <v>2</v>
      </c>
      <c r="B12" s="128" t="s">
        <v>224</v>
      </c>
      <c r="C12" s="103">
        <v>200</v>
      </c>
      <c r="D12" s="9">
        <f>654*0.16</f>
        <v>104.64</v>
      </c>
      <c r="E12" s="60">
        <v>45</v>
      </c>
    </row>
    <row r="13" spans="1:5">
      <c r="A13" s="5">
        <v>3</v>
      </c>
      <c r="B13" s="128" t="s">
        <v>86</v>
      </c>
      <c r="C13" s="103">
        <v>45</v>
      </c>
      <c r="D13" s="9">
        <f>138*45/40</f>
        <v>155.25</v>
      </c>
      <c r="E13" s="60">
        <v>15</v>
      </c>
    </row>
    <row r="14" spans="1:5">
      <c r="A14" s="5">
        <v>4</v>
      </c>
      <c r="B14" s="128" t="s">
        <v>225</v>
      </c>
      <c r="C14" s="103">
        <v>200</v>
      </c>
      <c r="D14" s="9">
        <v>83.4</v>
      </c>
      <c r="E14" s="60">
        <v>10</v>
      </c>
    </row>
    <row r="15" spans="1:5">
      <c r="A15" s="5">
        <v>6</v>
      </c>
      <c r="B15" s="128" t="s">
        <v>5</v>
      </c>
      <c r="C15" s="103">
        <v>20</v>
      </c>
      <c r="D15" s="102">
        <v>47.4</v>
      </c>
      <c r="E15" s="60">
        <v>2</v>
      </c>
    </row>
    <row r="16" spans="1:5">
      <c r="A16" s="5">
        <v>7</v>
      </c>
      <c r="B16" s="128" t="s">
        <v>6</v>
      </c>
      <c r="C16" s="103">
        <v>20</v>
      </c>
      <c r="D16" s="102">
        <v>40.799999999999997</v>
      </c>
      <c r="E16" s="60">
        <v>3</v>
      </c>
    </row>
    <row r="17" spans="1:5" s="19" customFormat="1" ht="15.75" thickBot="1">
      <c r="A17" s="6"/>
      <c r="B17" s="129" t="s">
        <v>7</v>
      </c>
      <c r="C17" s="114">
        <f>SUM(C11:C16)</f>
        <v>585</v>
      </c>
      <c r="D17" s="108">
        <f t="shared" ref="D17" si="0">SUM(D11:D16)</f>
        <v>565.4899999999999</v>
      </c>
      <c r="E17" s="69">
        <f>SUM(E11:E16)</f>
        <v>87</v>
      </c>
    </row>
    <row r="18" spans="1:5">
      <c r="A18" s="1"/>
      <c r="B18" s="21"/>
      <c r="C18" s="22"/>
      <c r="D18" s="84"/>
    </row>
    <row r="19" spans="1:5">
      <c r="A19" s="1"/>
      <c r="B19" s="21"/>
      <c r="C19" s="22"/>
      <c r="D19" s="84"/>
    </row>
    <row r="20" spans="1:5" s="29" customFormat="1" ht="28.35" customHeight="1">
      <c r="B20" s="168" t="s">
        <v>152</v>
      </c>
      <c r="C20" s="168"/>
      <c r="D20" s="168"/>
      <c r="E20" s="45"/>
    </row>
    <row r="21" spans="1:5">
      <c r="A21" s="192" t="s">
        <v>27</v>
      </c>
      <c r="B21" s="193" t="s">
        <v>0</v>
      </c>
      <c r="C21" s="191" t="s">
        <v>1</v>
      </c>
      <c r="D21" s="191" t="s">
        <v>2</v>
      </c>
      <c r="E21" s="188" t="s">
        <v>70</v>
      </c>
    </row>
    <row r="22" spans="1:5" ht="15.75" thickBot="1">
      <c r="A22" s="198"/>
      <c r="B22" s="193"/>
      <c r="C22" s="191"/>
      <c r="D22" s="191"/>
      <c r="E22" s="188"/>
    </row>
    <row r="23" spans="1:5">
      <c r="A23" s="20">
        <v>1</v>
      </c>
      <c r="B23" s="128" t="s">
        <v>8</v>
      </c>
      <c r="C23" s="103">
        <v>100</v>
      </c>
      <c r="D23" s="94">
        <f>1338*0.1</f>
        <v>133.80000000000001</v>
      </c>
      <c r="E23" s="59">
        <v>12</v>
      </c>
    </row>
    <row r="24" spans="1:5">
      <c r="A24" s="5">
        <v>2</v>
      </c>
      <c r="B24" s="128" t="s">
        <v>9</v>
      </c>
      <c r="C24" s="103">
        <v>250</v>
      </c>
      <c r="D24" s="94">
        <f>415*0.25</f>
        <v>103.75</v>
      </c>
      <c r="E24" s="60">
        <v>22</v>
      </c>
    </row>
    <row r="25" spans="1:5">
      <c r="A25" s="5">
        <v>3</v>
      </c>
      <c r="B25" s="128" t="s">
        <v>39</v>
      </c>
      <c r="C25" s="103">
        <v>180</v>
      </c>
      <c r="D25" s="94">
        <f>915*0.18</f>
        <v>164.7</v>
      </c>
      <c r="E25" s="60">
        <v>18</v>
      </c>
    </row>
    <row r="26" spans="1:5">
      <c r="A26" s="5">
        <v>4</v>
      </c>
      <c r="B26" s="128" t="s">
        <v>60</v>
      </c>
      <c r="C26" s="103">
        <v>120</v>
      </c>
      <c r="D26" s="9">
        <f>185*120/100</f>
        <v>222</v>
      </c>
      <c r="E26" s="60">
        <v>48</v>
      </c>
    </row>
    <row r="27" spans="1:5">
      <c r="A27" s="5">
        <v>5</v>
      </c>
      <c r="B27" s="128" t="s">
        <v>61</v>
      </c>
      <c r="C27" s="103">
        <v>180</v>
      </c>
      <c r="D27" s="9">
        <f>154.6*180/200</f>
        <v>139.13999999999999</v>
      </c>
      <c r="E27" s="60">
        <v>10</v>
      </c>
    </row>
    <row r="28" spans="1:5">
      <c r="A28" s="5">
        <v>6</v>
      </c>
      <c r="B28" s="128" t="s">
        <v>72</v>
      </c>
      <c r="C28" s="103">
        <v>100</v>
      </c>
      <c r="D28" s="9">
        <v>56.4</v>
      </c>
      <c r="E28" s="60">
        <v>10</v>
      </c>
    </row>
    <row r="29" spans="1:5">
      <c r="A29" s="5">
        <v>7</v>
      </c>
      <c r="B29" s="128" t="s">
        <v>5</v>
      </c>
      <c r="C29" s="103">
        <v>50</v>
      </c>
      <c r="D29" s="102">
        <v>118.4</v>
      </c>
      <c r="E29" s="60">
        <v>5</v>
      </c>
    </row>
    <row r="30" spans="1:5">
      <c r="A30" s="6">
        <v>8</v>
      </c>
      <c r="B30" s="128" t="s">
        <v>6</v>
      </c>
      <c r="C30" s="103">
        <v>30</v>
      </c>
      <c r="D30" s="102">
        <v>61.2</v>
      </c>
      <c r="E30" s="60">
        <v>4.5</v>
      </c>
    </row>
    <row r="31" spans="1:5" s="19" customFormat="1" ht="15.75" thickBot="1">
      <c r="A31" s="12"/>
      <c r="B31" s="129" t="s">
        <v>7</v>
      </c>
      <c r="C31" s="112">
        <f>SUM(C23:C30)</f>
        <v>1010</v>
      </c>
      <c r="D31" s="108">
        <f t="shared" ref="D31" si="1">SUM(D23:D30)</f>
        <v>999.39</v>
      </c>
      <c r="E31" s="69">
        <f>SUM(E23:E30)</f>
        <v>129.5</v>
      </c>
    </row>
    <row r="32" spans="1:5" s="19" customFormat="1">
      <c r="A32" s="8"/>
      <c r="B32" s="10"/>
      <c r="C32" s="11"/>
      <c r="D32" s="18"/>
    </row>
    <row r="33" spans="1:6" s="29" customFormat="1" ht="28.35" customHeight="1">
      <c r="B33" s="168" t="s">
        <v>153</v>
      </c>
      <c r="C33" s="168"/>
      <c r="D33" s="168"/>
      <c r="E33" s="45"/>
    </row>
    <row r="34" spans="1:6">
      <c r="A34" s="190" t="s">
        <v>27</v>
      </c>
      <c r="B34" s="191" t="s">
        <v>0</v>
      </c>
      <c r="C34" s="191" t="s">
        <v>1</v>
      </c>
      <c r="D34" s="191" t="s">
        <v>2</v>
      </c>
      <c r="E34" s="188" t="s">
        <v>70</v>
      </c>
    </row>
    <row r="35" spans="1:6">
      <c r="A35" s="197"/>
      <c r="B35" s="191"/>
      <c r="C35" s="191"/>
      <c r="D35" s="191"/>
      <c r="E35" s="188"/>
    </row>
    <row r="36" spans="1:6">
      <c r="A36" s="24">
        <v>1</v>
      </c>
      <c r="B36" s="128" t="s">
        <v>62</v>
      </c>
      <c r="C36" s="103">
        <v>200</v>
      </c>
      <c r="D36" s="94">
        <f>221.3*200/150</f>
        <v>295.06666666666666</v>
      </c>
      <c r="E36" s="65">
        <f>51.47-12</f>
        <v>39.47</v>
      </c>
    </row>
    <row r="37" spans="1:6">
      <c r="A37" s="5">
        <v>2</v>
      </c>
      <c r="B37" s="128" t="s">
        <v>5</v>
      </c>
      <c r="C37" s="103">
        <v>20</v>
      </c>
      <c r="D37" s="102">
        <v>47.4</v>
      </c>
      <c r="E37" s="65">
        <v>2</v>
      </c>
    </row>
    <row r="38" spans="1:6">
      <c r="A38" s="5">
        <v>3</v>
      </c>
      <c r="B38" s="128" t="s">
        <v>41</v>
      </c>
      <c r="C38" s="103">
        <v>180</v>
      </c>
      <c r="D38" s="136">
        <f>503*0.2</f>
        <v>100.60000000000001</v>
      </c>
      <c r="E38" s="65">
        <v>10</v>
      </c>
    </row>
    <row r="39" spans="1:6" s="19" customFormat="1">
      <c r="A39" s="6"/>
      <c r="B39" s="129" t="s">
        <v>7</v>
      </c>
      <c r="C39" s="114">
        <v>400</v>
      </c>
      <c r="D39" s="108">
        <v>443.07</v>
      </c>
      <c r="E39" s="108">
        <f>E38+E37+E36</f>
        <v>51.47</v>
      </c>
    </row>
    <row r="41" spans="1:6">
      <c r="A41" s="16" t="str">
        <f>'1 Д 1 Н'!A38</f>
        <v xml:space="preserve">    Заведующий производством  _______________/  ______________/                              /</v>
      </c>
      <c r="B41" s="10"/>
      <c r="C41" s="17"/>
      <c r="D41" s="18"/>
    </row>
    <row r="42" spans="1:6" s="29" customFormat="1" ht="21.6" customHeight="1">
      <c r="A42" s="171" t="s">
        <v>74</v>
      </c>
      <c r="B42" s="166"/>
      <c r="C42" s="166"/>
      <c r="D42" s="166"/>
      <c r="E42" s="166"/>
      <c r="F42" s="34"/>
    </row>
    <row r="43" spans="1:6" s="23" customFormat="1">
      <c r="A43" s="78" t="s">
        <v>75</v>
      </c>
      <c r="D43" s="98"/>
      <c r="E43" s="77"/>
      <c r="F43" s="54"/>
    </row>
  </sheetData>
  <mergeCells count="19">
    <mergeCell ref="B8:D8"/>
    <mergeCell ref="A9:A10"/>
    <mergeCell ref="B9:B10"/>
    <mergeCell ref="C9:C10"/>
    <mergeCell ref="D9:D10"/>
    <mergeCell ref="A42:E42"/>
    <mergeCell ref="E9:E10"/>
    <mergeCell ref="E21:E22"/>
    <mergeCell ref="E34:E35"/>
    <mergeCell ref="A34:A35"/>
    <mergeCell ref="B34:B35"/>
    <mergeCell ref="C34:C35"/>
    <mergeCell ref="D34:D35"/>
    <mergeCell ref="B20:D20"/>
    <mergeCell ref="A21:A22"/>
    <mergeCell ref="B21:B22"/>
    <mergeCell ref="C21:C22"/>
    <mergeCell ref="D21:D22"/>
    <mergeCell ref="B33:D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22" workbookViewId="0">
      <selection activeCell="B19" sqref="B19:D19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54" customWidth="1"/>
    <col min="5" max="16384" width="8.85546875" style="23"/>
  </cols>
  <sheetData>
    <row r="1" spans="1:5">
      <c r="A1" s="23" t="str">
        <f>'1 Д 1 Н'!A1</f>
        <v>Утверждаю</v>
      </c>
      <c r="D1" s="54" t="str">
        <f>'1 Д 1 Н'!D1</f>
        <v>Согласовано</v>
      </c>
    </row>
    <row r="2" spans="1:5">
      <c r="A2" s="23" t="str">
        <f>'1 Д 1 Н'!A2</f>
        <v>Директор ООО "ВитаЛайн"</v>
      </c>
      <c r="D2" s="54" t="str">
        <f>'1 Д 1 Н'!C2</f>
        <v>Директор МБОУ _____________</v>
      </c>
    </row>
    <row r="3" spans="1:5">
      <c r="A3" s="23" t="str">
        <f>'1 Д 1 Н'!A3</f>
        <v>_____________Н.Н.Клоков</v>
      </c>
      <c r="D3" s="54" t="str">
        <f>'1 Д 1 Н'!C3</f>
        <v>______________/______________/</v>
      </c>
    </row>
    <row r="4" spans="1:5">
      <c r="A4" s="23" t="str">
        <f>'1 Д 1 Н'!A4</f>
        <v>"___"______________2023 г</v>
      </c>
      <c r="D4" s="54" t="s">
        <v>69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72" t="s">
        <v>27</v>
      </c>
      <c r="B9" s="162" t="s">
        <v>0</v>
      </c>
      <c r="C9" s="162" t="s">
        <v>1</v>
      </c>
      <c r="D9" s="162" t="s">
        <v>2</v>
      </c>
      <c r="E9" s="162" t="s">
        <v>70</v>
      </c>
    </row>
    <row r="10" spans="1:5" ht="15.75" thickBot="1">
      <c r="A10" s="173"/>
      <c r="B10" s="162"/>
      <c r="C10" s="162"/>
      <c r="D10" s="162"/>
      <c r="E10" s="162"/>
    </row>
    <row r="11" spans="1:5">
      <c r="A11" s="92">
        <v>1</v>
      </c>
      <c r="B11" s="128" t="s">
        <v>231</v>
      </c>
      <c r="C11" s="103">
        <v>100</v>
      </c>
      <c r="D11" s="102">
        <v>82.5</v>
      </c>
      <c r="E11" s="57">
        <v>12</v>
      </c>
    </row>
    <row r="12" spans="1:5" ht="30">
      <c r="A12" s="92">
        <v>2</v>
      </c>
      <c r="B12" s="128" t="s">
        <v>233</v>
      </c>
      <c r="C12" s="103">
        <v>200</v>
      </c>
      <c r="D12" s="102">
        <v>416.2</v>
      </c>
      <c r="E12" s="15">
        <v>56</v>
      </c>
    </row>
    <row r="13" spans="1:5">
      <c r="A13" s="92">
        <v>3</v>
      </c>
      <c r="B13" s="128" t="s">
        <v>235</v>
      </c>
      <c r="C13" s="103">
        <v>200</v>
      </c>
      <c r="D13" s="102">
        <f>441*0.2</f>
        <v>88.2</v>
      </c>
      <c r="E13" s="15">
        <v>10</v>
      </c>
    </row>
    <row r="14" spans="1:5">
      <c r="A14" s="92">
        <v>4</v>
      </c>
      <c r="B14" s="128" t="s">
        <v>5</v>
      </c>
      <c r="C14" s="103">
        <v>30</v>
      </c>
      <c r="D14" s="102">
        <f>47.4*30/20</f>
        <v>71.099999999999994</v>
      </c>
      <c r="E14" s="15">
        <v>3</v>
      </c>
    </row>
    <row r="15" spans="1:5">
      <c r="A15" s="92">
        <v>5</v>
      </c>
      <c r="B15" s="128" t="s">
        <v>6</v>
      </c>
      <c r="C15" s="103">
        <v>20</v>
      </c>
      <c r="D15" s="102">
        <v>40.799999999999997</v>
      </c>
      <c r="E15" s="68">
        <v>3</v>
      </c>
    </row>
    <row r="16" spans="1:5" s="26" customFormat="1" ht="14.25">
      <c r="A16" s="31"/>
      <c r="B16" s="129" t="s">
        <v>7</v>
      </c>
      <c r="C16" s="114">
        <f>SUM(C11:C15)</f>
        <v>550</v>
      </c>
      <c r="D16" s="108">
        <f t="shared" ref="D16:E16" si="0">SUM(D11:D15)</f>
        <v>698.8</v>
      </c>
      <c r="E16" s="108">
        <f t="shared" si="0"/>
        <v>84</v>
      </c>
    </row>
    <row r="17" spans="1:5">
      <c r="A17" s="29"/>
      <c r="B17" s="48"/>
      <c r="C17" s="50"/>
      <c r="D17" s="76"/>
    </row>
    <row r="18" spans="1:5">
      <c r="A18" s="29"/>
      <c r="B18" s="48"/>
      <c r="C18" s="50"/>
      <c r="D18" s="76"/>
    </row>
    <row r="19" spans="1:5" s="29" customFormat="1" ht="28.35" customHeight="1">
      <c r="B19" s="168" t="s">
        <v>152</v>
      </c>
      <c r="C19" s="168"/>
      <c r="D19" s="168"/>
      <c r="E19" s="45"/>
    </row>
    <row r="20" spans="1:5">
      <c r="A20" s="185" t="s">
        <v>27</v>
      </c>
      <c r="B20" s="169" t="s">
        <v>0</v>
      </c>
      <c r="C20" s="162" t="s">
        <v>1</v>
      </c>
      <c r="D20" s="162" t="s">
        <v>2</v>
      </c>
      <c r="E20" s="162" t="s">
        <v>70</v>
      </c>
    </row>
    <row r="21" spans="1:5" ht="15.75" thickBot="1">
      <c r="A21" s="186"/>
      <c r="B21" s="169"/>
      <c r="C21" s="162"/>
      <c r="D21" s="162"/>
      <c r="E21" s="162"/>
    </row>
    <row r="22" spans="1:5">
      <c r="A22" s="90">
        <v>1</v>
      </c>
      <c r="B22" s="128" t="s">
        <v>238</v>
      </c>
      <c r="C22" s="111">
        <v>100</v>
      </c>
      <c r="D22" s="102">
        <f>1039*0.1</f>
        <v>103.9</v>
      </c>
      <c r="E22" s="59">
        <v>12</v>
      </c>
    </row>
    <row r="23" spans="1:5">
      <c r="A23" s="92">
        <v>2</v>
      </c>
      <c r="B23" s="128" t="s">
        <v>240</v>
      </c>
      <c r="C23" s="111">
        <v>250</v>
      </c>
      <c r="D23" s="102">
        <f>305*0.25</f>
        <v>76.25</v>
      </c>
      <c r="E23" s="60">
        <v>22</v>
      </c>
    </row>
    <row r="24" spans="1:5" ht="30">
      <c r="A24" s="92">
        <v>3</v>
      </c>
      <c r="B24" s="128" t="s">
        <v>242</v>
      </c>
      <c r="C24" s="111">
        <v>200</v>
      </c>
      <c r="D24" s="102">
        <f>183*200/70</f>
        <v>522.85714285714289</v>
      </c>
      <c r="E24" s="60">
        <v>52</v>
      </c>
    </row>
    <row r="25" spans="1:5">
      <c r="A25" s="92">
        <v>4</v>
      </c>
      <c r="B25" s="128" t="s">
        <v>38</v>
      </c>
      <c r="C25" s="111">
        <v>180</v>
      </c>
      <c r="D25" s="102">
        <f>593*0.18</f>
        <v>106.74</v>
      </c>
      <c r="E25" s="60">
        <v>10</v>
      </c>
    </row>
    <row r="26" spans="1:5">
      <c r="A26" s="92">
        <v>5</v>
      </c>
      <c r="B26" s="128" t="s">
        <v>5</v>
      </c>
      <c r="C26" s="111">
        <v>60</v>
      </c>
      <c r="D26" s="102">
        <f>165.8*60/70</f>
        <v>142.11428571428573</v>
      </c>
      <c r="E26" s="60">
        <v>6</v>
      </c>
    </row>
    <row r="27" spans="1:5">
      <c r="A27" s="150">
        <v>6</v>
      </c>
      <c r="B27" s="138" t="s">
        <v>6</v>
      </c>
      <c r="C27" s="156">
        <v>30</v>
      </c>
      <c r="D27" s="140">
        <v>61.2</v>
      </c>
      <c r="E27" s="147">
        <v>4.5</v>
      </c>
    </row>
    <row r="28" spans="1:5">
      <c r="A28" s="141"/>
      <c r="B28" s="142" t="s">
        <v>7</v>
      </c>
      <c r="C28" s="143">
        <f>SUM(C22:C27)</f>
        <v>820</v>
      </c>
      <c r="D28" s="144">
        <f t="shared" ref="D28:E28" si="1">SUM(D22:D27)</f>
        <v>1013.0614285714287</v>
      </c>
      <c r="E28" s="144">
        <f t="shared" si="1"/>
        <v>106.5</v>
      </c>
    </row>
    <row r="29" spans="1:5" s="26" customFormat="1" ht="14.25">
      <c r="A29" s="34"/>
      <c r="B29" s="35"/>
      <c r="C29" s="36"/>
      <c r="D29" s="42"/>
    </row>
    <row r="30" spans="1:5" s="26" customFormat="1" ht="14.25">
      <c r="A30" s="34"/>
      <c r="B30" s="35"/>
      <c r="C30" s="36"/>
      <c r="D30" s="42"/>
    </row>
    <row r="32" spans="1:5">
      <c r="A32" s="38" t="str">
        <f>'1 Д 1 Н'!A38</f>
        <v xml:space="preserve">    Заведующий производством  _______________/  ______________/                              /</v>
      </c>
      <c r="B32" s="35"/>
      <c r="C32" s="87"/>
      <c r="D32" s="42"/>
    </row>
    <row r="33" spans="1:6" s="29" customFormat="1" ht="21.6" customHeight="1">
      <c r="A33" s="171" t="s">
        <v>74</v>
      </c>
      <c r="B33" s="166"/>
      <c r="C33" s="166"/>
      <c r="D33" s="166"/>
      <c r="E33" s="166"/>
      <c r="F33" s="34"/>
    </row>
    <row r="34" spans="1:6">
      <c r="A34" s="78" t="s">
        <v>75</v>
      </c>
      <c r="E34" s="77"/>
      <c r="F34" s="54"/>
    </row>
  </sheetData>
  <mergeCells count="13">
    <mergeCell ref="A33:E33"/>
    <mergeCell ref="E20:E21"/>
    <mergeCell ref="B8:D8"/>
    <mergeCell ref="A9:A10"/>
    <mergeCell ref="B9:B10"/>
    <mergeCell ref="C9:C10"/>
    <mergeCell ref="D9:D10"/>
    <mergeCell ref="E9:E10"/>
    <mergeCell ref="B19:D19"/>
    <mergeCell ref="A20:A21"/>
    <mergeCell ref="B20:B21"/>
    <mergeCell ref="C20:C21"/>
    <mergeCell ref="D20:D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5"/>
  <sheetViews>
    <sheetView topLeftCell="A301" workbookViewId="0">
      <selection activeCell="A309" sqref="A309:C316"/>
    </sheetView>
  </sheetViews>
  <sheetFormatPr defaultColWidth="8.85546875" defaultRowHeight="15"/>
  <cols>
    <col min="1" max="1" width="62.7109375" style="78" customWidth="1"/>
    <col min="2" max="2" width="5.5703125" style="78" customWidth="1"/>
    <col min="3" max="3" width="11" style="122" customWidth="1"/>
    <col min="4" max="4" width="7" style="122" customWidth="1"/>
    <col min="5" max="6" width="7.7109375" style="122" customWidth="1"/>
    <col min="7" max="7" width="11" style="122" customWidth="1"/>
    <col min="8" max="8" width="7.28515625" style="78" customWidth="1"/>
    <col min="9" max="9" width="8.5703125" style="78" customWidth="1"/>
    <col min="10" max="16384" width="8.85546875" style="78"/>
  </cols>
  <sheetData>
    <row r="1" spans="1:18" s="1" customFormat="1">
      <c r="A1" s="221" t="s">
        <v>87</v>
      </c>
      <c r="B1" s="221"/>
      <c r="C1" s="221"/>
      <c r="D1" s="221"/>
      <c r="E1" s="221"/>
      <c r="F1" s="99"/>
      <c r="G1" s="99"/>
      <c r="H1" s="222"/>
      <c r="I1" s="222"/>
      <c r="J1" s="222"/>
      <c r="K1" s="100"/>
      <c r="L1" s="100"/>
      <c r="M1" s="100"/>
      <c r="N1" s="100"/>
      <c r="O1" s="100"/>
      <c r="P1" s="100"/>
      <c r="Q1" s="100"/>
      <c r="R1" s="100"/>
    </row>
    <row r="2" spans="1:18" s="1" customFormat="1">
      <c r="C2" s="99"/>
      <c r="D2" s="99"/>
      <c r="E2" s="99"/>
      <c r="F2" s="99"/>
      <c r="G2" s="99"/>
      <c r="H2" s="223"/>
      <c r="I2" s="223"/>
      <c r="J2" s="223"/>
      <c r="K2" s="100"/>
      <c r="L2" s="100"/>
      <c r="M2" s="100"/>
      <c r="N2" s="100"/>
      <c r="O2" s="100"/>
      <c r="P2" s="100"/>
      <c r="Q2" s="100"/>
      <c r="R2" s="100"/>
    </row>
    <row r="3" spans="1:18" s="101" customFormat="1" ht="15.75">
      <c r="A3" s="224" t="s">
        <v>154</v>
      </c>
      <c r="B3" s="224"/>
      <c r="C3" s="224"/>
      <c r="D3" s="224"/>
      <c r="E3" s="224"/>
      <c r="F3" s="224"/>
      <c r="G3" s="224"/>
      <c r="H3" s="224"/>
      <c r="I3" s="224"/>
    </row>
    <row r="4" spans="1:18">
      <c r="A4" s="217" t="s">
        <v>155</v>
      </c>
      <c r="B4" s="217"/>
      <c r="C4" s="217"/>
      <c r="D4" s="217"/>
      <c r="E4" s="217"/>
      <c r="F4" s="217"/>
      <c r="G4" s="217"/>
      <c r="H4" s="217"/>
      <c r="I4" s="217"/>
    </row>
    <row r="5" spans="1:18" ht="13.9" customHeight="1">
      <c r="A5" s="208" t="s">
        <v>0</v>
      </c>
      <c r="B5" s="203" t="s">
        <v>1</v>
      </c>
      <c r="C5" s="201" t="s">
        <v>2</v>
      </c>
      <c r="D5" s="218" t="s">
        <v>88</v>
      </c>
      <c r="E5" s="219"/>
      <c r="F5" s="220"/>
      <c r="G5" s="201" t="s">
        <v>2</v>
      </c>
      <c r="H5" s="203" t="s">
        <v>100</v>
      </c>
      <c r="I5" s="203" t="s">
        <v>156</v>
      </c>
    </row>
    <row r="6" spans="1:18" ht="30">
      <c r="A6" s="209"/>
      <c r="B6" s="204"/>
      <c r="C6" s="202"/>
      <c r="D6" s="102" t="s">
        <v>89</v>
      </c>
      <c r="E6" s="102" t="s">
        <v>90</v>
      </c>
      <c r="F6" s="102" t="s">
        <v>91</v>
      </c>
      <c r="G6" s="202"/>
      <c r="H6" s="204"/>
      <c r="I6" s="204"/>
    </row>
    <row r="7" spans="1:18">
      <c r="A7" s="214" t="s">
        <v>157</v>
      </c>
      <c r="B7" s="215"/>
      <c r="C7" s="215"/>
      <c r="D7" s="215"/>
      <c r="E7" s="215"/>
      <c r="F7" s="215"/>
      <c r="G7" s="215"/>
      <c r="H7" s="215"/>
      <c r="I7" s="216"/>
    </row>
    <row r="8" spans="1:18" ht="28.35" customHeight="1">
      <c r="A8" s="128" t="s">
        <v>71</v>
      </c>
      <c r="B8" s="103">
        <v>200</v>
      </c>
      <c r="C8" s="104">
        <f>260*200/210</f>
        <v>247.61904761904762</v>
      </c>
      <c r="D8" s="104">
        <f>6.08*200/210</f>
        <v>5.7904761904761903</v>
      </c>
      <c r="E8" s="104">
        <f>11.18*200/210</f>
        <v>10.647619047619047</v>
      </c>
      <c r="F8" s="104">
        <f>33.48*200/210</f>
        <v>31.885714285714283</v>
      </c>
      <c r="G8" s="104">
        <f>260*200/210</f>
        <v>247.61904761904762</v>
      </c>
      <c r="H8" s="106" t="s">
        <v>158</v>
      </c>
      <c r="I8" s="106" t="s">
        <v>159</v>
      </c>
    </row>
    <row r="9" spans="1:18" ht="13.9" customHeight="1">
      <c r="A9" s="128" t="s">
        <v>3</v>
      </c>
      <c r="B9" s="103">
        <v>30</v>
      </c>
      <c r="C9" s="74">
        <v>108</v>
      </c>
      <c r="D9" s="74">
        <f>6.96</f>
        <v>6.96</v>
      </c>
      <c r="E9" s="74">
        <v>8.85</v>
      </c>
      <c r="F9" s="74">
        <v>0</v>
      </c>
      <c r="G9" s="74">
        <v>108</v>
      </c>
      <c r="H9" s="2" t="s">
        <v>101</v>
      </c>
      <c r="I9" s="106" t="s">
        <v>159</v>
      </c>
    </row>
    <row r="10" spans="1:18">
      <c r="A10" s="128" t="s">
        <v>4</v>
      </c>
      <c r="B10" s="103">
        <v>180</v>
      </c>
      <c r="C10" s="74">
        <f>81*180/200</f>
        <v>72.900000000000006</v>
      </c>
      <c r="D10" s="74">
        <f>1.52*180/200</f>
        <v>1.3680000000000001</v>
      </c>
      <c r="E10" s="74">
        <f>1.35*180/200</f>
        <v>1.2150000000000001</v>
      </c>
      <c r="F10" s="74">
        <f>15.9*180/200</f>
        <v>14.31</v>
      </c>
      <c r="G10" s="74">
        <f>81*180/200</f>
        <v>72.900000000000006</v>
      </c>
      <c r="H10" s="2" t="s">
        <v>102</v>
      </c>
      <c r="I10" s="106" t="s">
        <v>159</v>
      </c>
    </row>
    <row r="11" spans="1:18">
      <c r="A11" s="128" t="s">
        <v>72</v>
      </c>
      <c r="B11" s="103">
        <v>100</v>
      </c>
      <c r="C11" s="104">
        <v>56.4</v>
      </c>
      <c r="D11" s="104">
        <v>0.5</v>
      </c>
      <c r="E11" s="104">
        <v>0.5</v>
      </c>
      <c r="F11" s="104">
        <v>11.8</v>
      </c>
      <c r="G11" s="104">
        <v>56.4</v>
      </c>
      <c r="H11" s="106" t="s">
        <v>103</v>
      </c>
      <c r="I11" s="106" t="s">
        <v>159</v>
      </c>
    </row>
    <row r="12" spans="1:18">
      <c r="A12" s="128" t="s">
        <v>5</v>
      </c>
      <c r="B12" s="103">
        <v>30</v>
      </c>
      <c r="C12" s="104">
        <v>142.1</v>
      </c>
      <c r="D12" s="104">
        <v>4.5999999999999996</v>
      </c>
      <c r="E12" s="104">
        <v>0.4</v>
      </c>
      <c r="F12" s="104">
        <v>30.1</v>
      </c>
      <c r="G12" s="104">
        <v>142.1</v>
      </c>
      <c r="H12" s="106"/>
      <c r="I12" s="106" t="s">
        <v>160</v>
      </c>
    </row>
    <row r="13" spans="1:18">
      <c r="A13" s="128" t="s">
        <v>6</v>
      </c>
      <c r="B13" s="103">
        <v>20</v>
      </c>
      <c r="C13" s="104">
        <v>46</v>
      </c>
      <c r="D13" s="104">
        <v>1.1000000000000001</v>
      </c>
      <c r="E13" s="104">
        <v>0.2</v>
      </c>
      <c r="F13" s="104">
        <v>9.9</v>
      </c>
      <c r="G13" s="104">
        <v>46</v>
      </c>
      <c r="H13" s="106"/>
      <c r="I13" s="106" t="s">
        <v>160</v>
      </c>
    </row>
    <row r="14" spans="1:18" s="110" customFormat="1" ht="14.25">
      <c r="A14" s="129" t="s">
        <v>7</v>
      </c>
      <c r="B14" s="107">
        <f>SUM(B8:B13)</f>
        <v>560</v>
      </c>
      <c r="C14" s="108">
        <f t="shared" ref="C14" si="0">SUM(C8:C13)</f>
        <v>673.01904761904757</v>
      </c>
      <c r="D14" s="108">
        <f t="shared" ref="D14:G14" si="1">SUM(D8:D13)</f>
        <v>20.31847619047619</v>
      </c>
      <c r="E14" s="108">
        <f t="shared" si="1"/>
        <v>21.812619047619044</v>
      </c>
      <c r="F14" s="108">
        <f t="shared" si="1"/>
        <v>97.995714285714286</v>
      </c>
      <c r="G14" s="108">
        <f t="shared" si="1"/>
        <v>673.01904761904757</v>
      </c>
      <c r="H14" s="109"/>
      <c r="I14" s="109"/>
    </row>
    <row r="15" spans="1:18">
      <c r="A15" s="214" t="s">
        <v>161</v>
      </c>
      <c r="B15" s="215"/>
      <c r="C15" s="215"/>
      <c r="D15" s="215"/>
      <c r="E15" s="215"/>
      <c r="F15" s="215"/>
      <c r="G15" s="215"/>
      <c r="H15" s="215"/>
      <c r="I15" s="216"/>
    </row>
    <row r="16" spans="1:18">
      <c r="A16" s="128" t="s">
        <v>8</v>
      </c>
      <c r="B16" s="111">
        <v>100</v>
      </c>
      <c r="C16" s="104">
        <f>1338*0.1</f>
        <v>133.80000000000001</v>
      </c>
      <c r="D16" s="104">
        <f>27.31*0.1</f>
        <v>2.7309999999999999</v>
      </c>
      <c r="E16" s="104">
        <f>1.87*0.1</f>
        <v>0.18700000000000003</v>
      </c>
      <c r="F16" s="104">
        <f>145.45*0.1</f>
        <v>14.545</v>
      </c>
      <c r="G16" s="104">
        <f>1338*0.1</f>
        <v>133.80000000000001</v>
      </c>
      <c r="H16" s="106" t="s">
        <v>104</v>
      </c>
      <c r="I16" s="106" t="s">
        <v>159</v>
      </c>
    </row>
    <row r="17" spans="1:9">
      <c r="A17" s="128" t="s">
        <v>9</v>
      </c>
      <c r="B17" s="111">
        <v>250</v>
      </c>
      <c r="C17" s="104">
        <f>415*0.25</f>
        <v>103.75</v>
      </c>
      <c r="D17" s="104">
        <f>7.21*0.25</f>
        <v>1.8025</v>
      </c>
      <c r="E17" s="104">
        <f>19.68*0.25</f>
        <v>4.92</v>
      </c>
      <c r="F17" s="104">
        <f>43.73*0.25</f>
        <v>10.932499999999999</v>
      </c>
      <c r="G17" s="104">
        <f>415*0.25</f>
        <v>103.75</v>
      </c>
      <c r="H17" s="106" t="s">
        <v>105</v>
      </c>
      <c r="I17" s="106" t="s">
        <v>159</v>
      </c>
    </row>
    <row r="18" spans="1:9">
      <c r="A18" s="128" t="s">
        <v>10</v>
      </c>
      <c r="B18" s="111">
        <v>180</v>
      </c>
      <c r="C18" s="104">
        <f>220*180/160</f>
        <v>247.5</v>
      </c>
      <c r="D18" s="104">
        <f>4.64*180/150</f>
        <v>5.5679999999999996</v>
      </c>
      <c r="E18" s="104">
        <v>6.76</v>
      </c>
      <c r="F18" s="104">
        <f>32.91*180/160</f>
        <v>37.023749999999993</v>
      </c>
      <c r="G18" s="104">
        <f>220*180/160</f>
        <v>247.5</v>
      </c>
      <c r="H18" s="106" t="s">
        <v>162</v>
      </c>
      <c r="I18" s="106">
        <v>2017</v>
      </c>
    </row>
    <row r="19" spans="1:9" ht="28.35" customHeight="1">
      <c r="A19" s="128" t="s">
        <v>163</v>
      </c>
      <c r="B19" s="111">
        <v>115</v>
      </c>
      <c r="C19" s="104">
        <f>128*115/55</f>
        <v>267.63636363636363</v>
      </c>
      <c r="D19" s="104">
        <f>6.5*115/55</f>
        <v>13.590909090909092</v>
      </c>
      <c r="E19" s="104">
        <v>14.16</v>
      </c>
      <c r="F19" s="104">
        <f>7.99*115/55</f>
        <v>16.706363636363637</v>
      </c>
      <c r="G19" s="104">
        <f>128*115/55</f>
        <v>267.63636363636363</v>
      </c>
      <c r="H19" s="106" t="s">
        <v>106</v>
      </c>
      <c r="I19" s="106" t="s">
        <v>159</v>
      </c>
    </row>
    <row r="20" spans="1:9" ht="13.9" customHeight="1">
      <c r="A20" s="128" t="s">
        <v>11</v>
      </c>
      <c r="B20" s="111">
        <v>180</v>
      </c>
      <c r="C20" s="74">
        <f>83.4*180/200</f>
        <v>75.06</v>
      </c>
      <c r="D20" s="74">
        <f>5*0.18</f>
        <v>0.89999999999999991</v>
      </c>
      <c r="E20" s="74">
        <f>0.2*180/200</f>
        <v>0.18</v>
      </c>
      <c r="F20" s="74">
        <f>19.6*180/200</f>
        <v>17.64</v>
      </c>
      <c r="G20" s="74">
        <f>83.4*180/200</f>
        <v>75.06</v>
      </c>
      <c r="H20" s="106" t="s">
        <v>107</v>
      </c>
      <c r="I20" s="106">
        <v>2017</v>
      </c>
    </row>
    <row r="21" spans="1:9">
      <c r="A21" s="128" t="s">
        <v>5</v>
      </c>
      <c r="B21" s="111">
        <v>30</v>
      </c>
      <c r="C21" s="105">
        <v>71</v>
      </c>
      <c r="D21" s="105">
        <v>2.2999999999999998</v>
      </c>
      <c r="E21" s="105">
        <v>0.2</v>
      </c>
      <c r="F21" s="105">
        <v>15.1</v>
      </c>
      <c r="G21" s="105">
        <v>71</v>
      </c>
      <c r="H21" s="106"/>
      <c r="I21" s="106" t="s">
        <v>160</v>
      </c>
    </row>
    <row r="22" spans="1:9">
      <c r="A22" s="128" t="s">
        <v>6</v>
      </c>
      <c r="B22" s="111">
        <v>30</v>
      </c>
      <c r="C22" s="105">
        <v>61.2</v>
      </c>
      <c r="D22" s="105">
        <v>2</v>
      </c>
      <c r="E22" s="105">
        <v>0.3</v>
      </c>
      <c r="F22" s="105">
        <v>12.7</v>
      </c>
      <c r="G22" s="105">
        <v>61.2</v>
      </c>
      <c r="H22" s="106"/>
      <c r="I22" s="106" t="s">
        <v>160</v>
      </c>
    </row>
    <row r="23" spans="1:9" s="110" customFormat="1" ht="14.25">
      <c r="A23" s="129" t="s">
        <v>7</v>
      </c>
      <c r="B23" s="112">
        <f>SUM(B16:B22)</f>
        <v>885</v>
      </c>
      <c r="C23" s="108">
        <f t="shared" ref="C23" si="2">SUM(C16:C22)</f>
        <v>959.94636363636369</v>
      </c>
      <c r="D23" s="108">
        <f t="shared" ref="D23:G23" si="3">SUM(D16:D22)</f>
        <v>28.892409090909091</v>
      </c>
      <c r="E23" s="108">
        <f t="shared" si="3"/>
        <v>26.707000000000001</v>
      </c>
      <c r="F23" s="108">
        <f t="shared" si="3"/>
        <v>124.64761363636363</v>
      </c>
      <c r="G23" s="108">
        <f t="shared" si="3"/>
        <v>959.94636363636369</v>
      </c>
      <c r="H23" s="109"/>
      <c r="I23" s="109"/>
    </row>
    <row r="24" spans="1:9">
      <c r="A24" s="214" t="s">
        <v>164</v>
      </c>
      <c r="B24" s="215"/>
      <c r="C24" s="215"/>
      <c r="D24" s="215"/>
      <c r="E24" s="215"/>
      <c r="F24" s="215"/>
      <c r="G24" s="215"/>
      <c r="H24" s="215"/>
      <c r="I24" s="216"/>
    </row>
    <row r="25" spans="1:9" ht="13.9" customHeight="1">
      <c r="A25" s="128" t="s">
        <v>12</v>
      </c>
      <c r="B25" s="103">
        <v>200</v>
      </c>
      <c r="C25" s="104">
        <f>206*200/145</f>
        <v>284.13793103448273</v>
      </c>
      <c r="D25" s="104">
        <f>11.29*200/145</f>
        <v>15.572413793103449</v>
      </c>
      <c r="E25" s="104">
        <f>12.38*200/145</f>
        <v>17.075862068965517</v>
      </c>
      <c r="F25" s="104">
        <f>12.85*200/145</f>
        <v>17.724137931034484</v>
      </c>
      <c r="G25" s="104">
        <f>206*200/145</f>
        <v>284.13793103448273</v>
      </c>
      <c r="H25" s="106" t="s">
        <v>108</v>
      </c>
      <c r="I25" s="106" t="s">
        <v>159</v>
      </c>
    </row>
    <row r="26" spans="1:9">
      <c r="A26" s="128" t="s">
        <v>5</v>
      </c>
      <c r="B26" s="103">
        <v>30</v>
      </c>
      <c r="C26" s="113">
        <v>106</v>
      </c>
      <c r="D26" s="113">
        <v>5.8</v>
      </c>
      <c r="E26" s="113">
        <v>5</v>
      </c>
      <c r="F26" s="113">
        <v>7.2</v>
      </c>
      <c r="G26" s="113">
        <v>106</v>
      </c>
      <c r="H26" s="106"/>
      <c r="I26" s="106">
        <v>2020</v>
      </c>
    </row>
    <row r="27" spans="1:9" ht="13.9" customHeight="1">
      <c r="A27" s="128" t="s">
        <v>73</v>
      </c>
      <c r="B27" s="103">
        <v>180</v>
      </c>
      <c r="C27" s="75">
        <f>106*180/200</f>
        <v>95.4</v>
      </c>
      <c r="D27" s="75">
        <f>5.8*180/200</f>
        <v>5.22</v>
      </c>
      <c r="E27" s="75">
        <f>5*180/200</f>
        <v>4.5</v>
      </c>
      <c r="F27" s="75">
        <f>7.2*180/200</f>
        <v>6.48</v>
      </c>
      <c r="G27" s="75">
        <f>106*180/200</f>
        <v>95.4</v>
      </c>
      <c r="H27" s="106" t="s">
        <v>109</v>
      </c>
      <c r="I27" s="106">
        <v>2017</v>
      </c>
    </row>
    <row r="28" spans="1:9" s="110" customFormat="1" ht="14.25">
      <c r="A28" s="129" t="s">
        <v>7</v>
      </c>
      <c r="B28" s="114">
        <f t="shared" ref="B28:G28" si="4">SUM(B25:B27)</f>
        <v>410</v>
      </c>
      <c r="C28" s="108">
        <f t="shared" ref="C28" si="5">SUM(C25:C27)</f>
        <v>485.53793103448277</v>
      </c>
      <c r="D28" s="108">
        <f t="shared" si="4"/>
        <v>26.592413793103447</v>
      </c>
      <c r="E28" s="108">
        <f t="shared" si="4"/>
        <v>26.575862068965517</v>
      </c>
      <c r="F28" s="108">
        <f t="shared" si="4"/>
        <v>31.404137931034484</v>
      </c>
      <c r="G28" s="108">
        <f t="shared" si="4"/>
        <v>485.53793103448277</v>
      </c>
      <c r="H28" s="109"/>
      <c r="I28" s="109"/>
    </row>
    <row r="29" spans="1:9" s="110" customFormat="1" ht="14.25">
      <c r="A29" s="205" t="s">
        <v>92</v>
      </c>
      <c r="B29" s="206"/>
      <c r="C29" s="115">
        <f>C28+C23+C14</f>
        <v>2118.5033422898941</v>
      </c>
      <c r="D29" s="115">
        <f>D28+D23+D14</f>
        <v>75.803299074488734</v>
      </c>
      <c r="E29" s="115">
        <f>E28+E23+E14</f>
        <v>75.095481116584551</v>
      </c>
      <c r="F29" s="115">
        <f>F28+F23+F14</f>
        <v>254.04746585311241</v>
      </c>
      <c r="G29" s="115">
        <f>G28+G23+G14</f>
        <v>2118.5033422898941</v>
      </c>
      <c r="H29" s="109"/>
      <c r="I29" s="109"/>
    </row>
    <row r="30" spans="1:9" ht="28.35" customHeight="1">
      <c r="A30" s="200" t="s">
        <v>165</v>
      </c>
      <c r="B30" s="200"/>
      <c r="C30" s="200"/>
      <c r="D30" s="200"/>
      <c r="E30" s="200"/>
      <c r="F30" s="200"/>
      <c r="G30" s="200"/>
      <c r="H30" s="200"/>
      <c r="I30" s="200"/>
    </row>
    <row r="31" spans="1:9" ht="13.9" customHeight="1">
      <c r="A31" s="217" t="s">
        <v>166</v>
      </c>
      <c r="B31" s="217"/>
      <c r="C31" s="217"/>
      <c r="D31" s="217"/>
      <c r="E31" s="217"/>
      <c r="F31" s="217"/>
      <c r="G31" s="217"/>
      <c r="H31" s="217"/>
      <c r="I31" s="217"/>
    </row>
    <row r="32" spans="1:9" ht="13.9" customHeight="1">
      <c r="A32" s="208" t="s">
        <v>0</v>
      </c>
      <c r="B32" s="203" t="s">
        <v>1</v>
      </c>
      <c r="C32" s="201" t="s">
        <v>2</v>
      </c>
      <c r="D32" s="218" t="s">
        <v>88</v>
      </c>
      <c r="E32" s="219"/>
      <c r="F32" s="220"/>
      <c r="G32" s="201" t="s">
        <v>2</v>
      </c>
      <c r="H32" s="203" t="s">
        <v>100</v>
      </c>
      <c r="I32" s="203" t="s">
        <v>156</v>
      </c>
    </row>
    <row r="33" spans="1:9" ht="30">
      <c r="A33" s="209"/>
      <c r="B33" s="204"/>
      <c r="C33" s="202"/>
      <c r="D33" s="102" t="s">
        <v>89</v>
      </c>
      <c r="E33" s="102" t="s">
        <v>90</v>
      </c>
      <c r="F33" s="102" t="s">
        <v>91</v>
      </c>
      <c r="G33" s="202"/>
      <c r="H33" s="204"/>
      <c r="I33" s="204"/>
    </row>
    <row r="34" spans="1:9">
      <c r="A34" s="214" t="s">
        <v>157</v>
      </c>
      <c r="B34" s="215"/>
      <c r="C34" s="215"/>
      <c r="D34" s="215"/>
      <c r="E34" s="215"/>
      <c r="F34" s="215"/>
      <c r="G34" s="215"/>
      <c r="H34" s="215"/>
      <c r="I34" s="216"/>
    </row>
    <row r="35" spans="1:9" ht="13.9" customHeight="1">
      <c r="A35" s="128" t="s">
        <v>45</v>
      </c>
      <c r="B35" s="103">
        <v>100</v>
      </c>
      <c r="C35" s="74">
        <f>35.46*100/60</f>
        <v>59.1</v>
      </c>
      <c r="D35" s="74">
        <f>0.51*100/60</f>
        <v>0.85</v>
      </c>
      <c r="E35" s="74">
        <f>3.02*100/60</f>
        <v>5.0333333333333332</v>
      </c>
      <c r="F35" s="74">
        <f>1.551/60</f>
        <v>2.5849999999999998E-2</v>
      </c>
      <c r="G35" s="74">
        <f>35.46*100/60</f>
        <v>59.1</v>
      </c>
      <c r="H35" s="2" t="s">
        <v>110</v>
      </c>
      <c r="I35" s="2" t="s">
        <v>159</v>
      </c>
    </row>
    <row r="36" spans="1:9">
      <c r="A36" s="128" t="s">
        <v>18</v>
      </c>
      <c r="B36" s="103">
        <v>180</v>
      </c>
      <c r="C36" s="104">
        <f>142*180/105</f>
        <v>243.42857142857142</v>
      </c>
      <c r="D36" s="104">
        <f>1.77*180/105</f>
        <v>3.0342857142857147</v>
      </c>
      <c r="E36" s="104">
        <f>10.99*180/105</f>
        <v>18.84</v>
      </c>
      <c r="F36" s="104">
        <f>8.5*180/105</f>
        <v>14.571428571428571</v>
      </c>
      <c r="G36" s="104">
        <f>142*180/105</f>
        <v>243.42857142857142</v>
      </c>
      <c r="H36" s="106" t="s">
        <v>167</v>
      </c>
      <c r="I36" s="106" t="s">
        <v>159</v>
      </c>
    </row>
    <row r="37" spans="1:9">
      <c r="A37" s="128" t="s">
        <v>19</v>
      </c>
      <c r="B37" s="103">
        <v>100</v>
      </c>
      <c r="C37" s="104">
        <f>161*100/55</f>
        <v>292.72727272727275</v>
      </c>
      <c r="D37" s="104">
        <f>7.92*100/55</f>
        <v>14.4</v>
      </c>
      <c r="E37" s="104">
        <f>11.27*100/55</f>
        <v>20.490909090909092</v>
      </c>
      <c r="F37" s="104">
        <f>6.61*100/55</f>
        <v>12.018181818181818</v>
      </c>
      <c r="G37" s="104">
        <f>161*100/55</f>
        <v>292.72727272727275</v>
      </c>
      <c r="H37" s="106" t="s">
        <v>111</v>
      </c>
      <c r="I37" s="106" t="s">
        <v>159</v>
      </c>
    </row>
    <row r="38" spans="1:9">
      <c r="A38" s="128" t="s">
        <v>20</v>
      </c>
      <c r="B38" s="103">
        <v>180</v>
      </c>
      <c r="C38" s="75">
        <f>503*0.18</f>
        <v>90.539999999999992</v>
      </c>
      <c r="D38" s="75">
        <f>15.83*0.18</f>
        <v>2.8493999999999997</v>
      </c>
      <c r="E38" s="75">
        <f>13.39*0.18</f>
        <v>2.4102000000000001</v>
      </c>
      <c r="F38" s="75">
        <f>79.73*0.18</f>
        <v>14.3514</v>
      </c>
      <c r="G38" s="75">
        <f>503*0.18</f>
        <v>90.539999999999992</v>
      </c>
      <c r="H38" s="2" t="s">
        <v>112</v>
      </c>
      <c r="I38" s="106" t="s">
        <v>159</v>
      </c>
    </row>
    <row r="39" spans="1:9">
      <c r="A39" s="128" t="s">
        <v>5</v>
      </c>
      <c r="B39" s="103">
        <v>20</v>
      </c>
      <c r="C39" s="104">
        <f>118.4*20/50</f>
        <v>47.36</v>
      </c>
      <c r="D39" s="104">
        <f>3.8*20/50</f>
        <v>1.52</v>
      </c>
      <c r="E39" s="104">
        <v>0.1</v>
      </c>
      <c r="F39" s="104">
        <v>10</v>
      </c>
      <c r="G39" s="104">
        <f>118.4*20/50</f>
        <v>47.36</v>
      </c>
      <c r="H39" s="106"/>
      <c r="I39" s="106" t="s">
        <v>160</v>
      </c>
    </row>
    <row r="40" spans="1:9">
      <c r="A40" s="128" t="s">
        <v>6</v>
      </c>
      <c r="B40" s="103">
        <v>20</v>
      </c>
      <c r="C40" s="104">
        <v>40.799999999999997</v>
      </c>
      <c r="D40" s="104">
        <v>1.3</v>
      </c>
      <c r="E40" s="104">
        <v>0.2</v>
      </c>
      <c r="F40" s="104">
        <v>8.5</v>
      </c>
      <c r="G40" s="104">
        <v>40.799999999999997</v>
      </c>
      <c r="H40" s="106"/>
      <c r="I40" s="106" t="s">
        <v>160</v>
      </c>
    </row>
    <row r="41" spans="1:9" s="110" customFormat="1" ht="14.25">
      <c r="A41" s="129" t="s">
        <v>7</v>
      </c>
      <c r="B41" s="114">
        <f>SUM(B35:B40)</f>
        <v>600</v>
      </c>
      <c r="C41" s="108">
        <f t="shared" ref="C41" si="6">SUM(C35:C40)</f>
        <v>773.95584415584415</v>
      </c>
      <c r="D41" s="108">
        <f t="shared" ref="D41:G41" si="7">SUM(D35:D40)</f>
        <v>23.953685714285715</v>
      </c>
      <c r="E41" s="108">
        <f t="shared" si="7"/>
        <v>47.074442424242434</v>
      </c>
      <c r="F41" s="108">
        <f t="shared" si="7"/>
        <v>59.466860389610389</v>
      </c>
      <c r="G41" s="108">
        <f t="shared" si="7"/>
        <v>773.95584415584415</v>
      </c>
      <c r="H41" s="109"/>
      <c r="I41" s="109"/>
    </row>
    <row r="42" spans="1:9" ht="21.6" customHeight="1">
      <c r="A42" s="214" t="s">
        <v>161</v>
      </c>
      <c r="B42" s="215"/>
      <c r="C42" s="215"/>
      <c r="D42" s="215"/>
      <c r="E42" s="215"/>
      <c r="F42" s="215"/>
      <c r="G42" s="215"/>
      <c r="H42" s="215"/>
      <c r="I42" s="216"/>
    </row>
    <row r="43" spans="1:9" ht="13.9" customHeight="1">
      <c r="A43" s="128" t="s">
        <v>21</v>
      </c>
      <c r="B43" s="103">
        <v>100</v>
      </c>
      <c r="C43" s="104">
        <f>1319*0.1</f>
        <v>131.9</v>
      </c>
      <c r="D43" s="104">
        <f>46.71*0.1</f>
        <v>4.6710000000000003</v>
      </c>
      <c r="E43" s="104">
        <v>6.39</v>
      </c>
      <c r="F43" s="104">
        <f>71.9*0.1</f>
        <v>7.1900000000000013</v>
      </c>
      <c r="G43" s="104">
        <f>1319*0.1</f>
        <v>131.9</v>
      </c>
      <c r="H43" s="106" t="s">
        <v>113</v>
      </c>
      <c r="I43" s="106" t="s">
        <v>159</v>
      </c>
    </row>
    <row r="44" spans="1:9">
      <c r="A44" s="128" t="s">
        <v>76</v>
      </c>
      <c r="B44" s="103">
        <v>250</v>
      </c>
      <c r="C44" s="104">
        <f>593*0.25</f>
        <v>148.25</v>
      </c>
      <c r="D44" s="104">
        <f>21.96*0.25</f>
        <v>5.49</v>
      </c>
      <c r="E44" s="104">
        <f>21.08*0.25</f>
        <v>5.27</v>
      </c>
      <c r="F44" s="104">
        <f>66.14*0.25</f>
        <v>16.535</v>
      </c>
      <c r="G44" s="104">
        <f>593*0.25</f>
        <v>148.25</v>
      </c>
      <c r="H44" s="106" t="s">
        <v>168</v>
      </c>
      <c r="I44" s="106" t="s">
        <v>159</v>
      </c>
    </row>
    <row r="45" spans="1:9">
      <c r="A45" s="128" t="s">
        <v>22</v>
      </c>
      <c r="B45" s="103">
        <v>180</v>
      </c>
      <c r="C45" s="104">
        <f>90*180/100</f>
        <v>162</v>
      </c>
      <c r="D45" s="104">
        <f>2.18*180/100</f>
        <v>3.9240000000000004</v>
      </c>
      <c r="E45" s="104">
        <f>3.85*180/100</f>
        <v>6.93</v>
      </c>
      <c r="F45" s="104">
        <f>21.15*180/105</f>
        <v>36.257142857142853</v>
      </c>
      <c r="G45" s="104">
        <f>90*180/100</f>
        <v>162</v>
      </c>
      <c r="H45" s="106" t="s">
        <v>169</v>
      </c>
      <c r="I45" s="106" t="s">
        <v>159</v>
      </c>
    </row>
    <row r="46" spans="1:9">
      <c r="A46" s="128" t="s">
        <v>23</v>
      </c>
      <c r="B46" s="103">
        <v>100</v>
      </c>
      <c r="C46" s="104">
        <f>143*100/60</f>
        <v>238.33333333333334</v>
      </c>
      <c r="D46" s="104">
        <f>7.81*100/60</f>
        <v>13.016666666666667</v>
      </c>
      <c r="E46" s="104">
        <v>15.58</v>
      </c>
      <c r="F46" s="104">
        <f>1.44*100/60</f>
        <v>2.4</v>
      </c>
      <c r="G46" s="104">
        <f>143*100/60</f>
        <v>238.33333333333334</v>
      </c>
      <c r="H46" s="106" t="s">
        <v>170</v>
      </c>
      <c r="I46" s="106" t="s">
        <v>159</v>
      </c>
    </row>
    <row r="47" spans="1:9">
      <c r="A47" s="128" t="s">
        <v>24</v>
      </c>
      <c r="B47" s="103">
        <v>200</v>
      </c>
      <c r="C47" s="74">
        <v>83.4</v>
      </c>
      <c r="D47" s="74">
        <f>5*0.2</f>
        <v>1</v>
      </c>
      <c r="E47" s="74">
        <v>0.2</v>
      </c>
      <c r="F47" s="74">
        <v>19.600000000000001</v>
      </c>
      <c r="G47" s="74">
        <v>83.4</v>
      </c>
      <c r="H47" s="106" t="s">
        <v>107</v>
      </c>
      <c r="I47" s="106" t="s">
        <v>159</v>
      </c>
    </row>
    <row r="48" spans="1:9">
      <c r="A48" s="128" t="s">
        <v>25</v>
      </c>
      <c r="B48" s="103">
        <v>200</v>
      </c>
      <c r="C48" s="104">
        <v>52</v>
      </c>
      <c r="D48" s="104">
        <v>2.8</v>
      </c>
      <c r="E48" s="104">
        <v>2.5</v>
      </c>
      <c r="F48" s="104">
        <v>4.7</v>
      </c>
      <c r="G48" s="104">
        <v>52</v>
      </c>
      <c r="H48" s="106"/>
      <c r="I48" s="106"/>
    </row>
    <row r="49" spans="1:9">
      <c r="A49" s="128" t="s">
        <v>5</v>
      </c>
      <c r="B49" s="103">
        <v>30</v>
      </c>
      <c r="C49" s="105">
        <v>71</v>
      </c>
      <c r="D49" s="105">
        <v>2.2999999999999998</v>
      </c>
      <c r="E49" s="105">
        <v>0.2</v>
      </c>
      <c r="F49" s="105">
        <v>15.1</v>
      </c>
      <c r="G49" s="105">
        <v>71</v>
      </c>
      <c r="H49" s="106"/>
      <c r="I49" s="106" t="s">
        <v>160</v>
      </c>
    </row>
    <row r="50" spans="1:9">
      <c r="A50" s="128" t="s">
        <v>6</v>
      </c>
      <c r="B50" s="103">
        <v>30</v>
      </c>
      <c r="C50" s="105">
        <v>61.2</v>
      </c>
      <c r="D50" s="105">
        <v>2</v>
      </c>
      <c r="E50" s="105">
        <v>0.3</v>
      </c>
      <c r="F50" s="105">
        <v>12.7</v>
      </c>
      <c r="G50" s="105">
        <v>61.2</v>
      </c>
      <c r="H50" s="106"/>
      <c r="I50" s="106" t="s">
        <v>160</v>
      </c>
    </row>
    <row r="51" spans="1:9" s="110" customFormat="1" ht="14.25">
      <c r="A51" s="129" t="s">
        <v>7</v>
      </c>
      <c r="B51" s="112">
        <f>SUM(B43:B50)</f>
        <v>1090</v>
      </c>
      <c r="C51" s="108">
        <f t="shared" ref="C51" si="8">SUM(C43:C50)</f>
        <v>948.08333333333337</v>
      </c>
      <c r="D51" s="108">
        <f t="shared" ref="D51:G51" si="9">SUM(D43:D50)</f>
        <v>35.201666666666668</v>
      </c>
      <c r="E51" s="108">
        <f t="shared" si="9"/>
        <v>37.370000000000005</v>
      </c>
      <c r="F51" s="108">
        <f t="shared" si="9"/>
        <v>114.48214285714286</v>
      </c>
      <c r="G51" s="108">
        <f t="shared" si="9"/>
        <v>948.08333333333337</v>
      </c>
      <c r="H51" s="109"/>
      <c r="I51" s="109"/>
    </row>
    <row r="52" spans="1:9">
      <c r="A52" s="214" t="s">
        <v>164</v>
      </c>
      <c r="B52" s="215"/>
      <c r="C52" s="215"/>
      <c r="D52" s="215"/>
      <c r="E52" s="215"/>
      <c r="F52" s="215"/>
      <c r="G52" s="215"/>
      <c r="H52" s="215"/>
      <c r="I52" s="216"/>
    </row>
    <row r="53" spans="1:9" ht="13.9" customHeight="1">
      <c r="A53" s="128" t="s">
        <v>171</v>
      </c>
      <c r="B53" s="103">
        <v>200</v>
      </c>
      <c r="C53" s="113">
        <f>118*200/80</f>
        <v>295</v>
      </c>
      <c r="D53" s="113">
        <f>4.88*200/80</f>
        <v>12.2</v>
      </c>
      <c r="E53" s="113">
        <f>5.24*200/80</f>
        <v>13.1</v>
      </c>
      <c r="F53" s="113">
        <f>11.91*200/80</f>
        <v>29.774999999999999</v>
      </c>
      <c r="G53" s="113">
        <f>118*200/80</f>
        <v>295</v>
      </c>
      <c r="H53" s="106" t="s">
        <v>115</v>
      </c>
      <c r="I53" s="106" t="s">
        <v>159</v>
      </c>
    </row>
    <row r="54" spans="1:9">
      <c r="A54" s="128" t="s">
        <v>72</v>
      </c>
      <c r="B54" s="103">
        <v>120</v>
      </c>
      <c r="C54" s="74">
        <f>56.4*120/100</f>
        <v>67.680000000000007</v>
      </c>
      <c r="D54" s="74">
        <f>0.5*120/100</f>
        <v>0.6</v>
      </c>
      <c r="E54" s="74">
        <f>0.5*120/100</f>
        <v>0.6</v>
      </c>
      <c r="F54" s="74">
        <f>11.8*120/100</f>
        <v>14.16</v>
      </c>
      <c r="G54" s="74">
        <f>56.4*120/100</f>
        <v>67.680000000000007</v>
      </c>
      <c r="H54" s="2" t="s">
        <v>103</v>
      </c>
      <c r="I54" s="106"/>
    </row>
    <row r="55" spans="1:9" ht="13.9" customHeight="1">
      <c r="A55" s="128" t="s">
        <v>26</v>
      </c>
      <c r="B55" s="103">
        <v>180</v>
      </c>
      <c r="C55" s="74">
        <f>112*0.18</f>
        <v>20.16</v>
      </c>
      <c r="D55" s="74">
        <f>0.8*0.18</f>
        <v>0.14399999999999999</v>
      </c>
      <c r="E55" s="74">
        <f>0.8*0.18</f>
        <v>0.14399999999999999</v>
      </c>
      <c r="F55" s="74">
        <f>139.4*0.18</f>
        <v>25.091999999999999</v>
      </c>
      <c r="G55" s="74">
        <f>112*0.18</f>
        <v>20.16</v>
      </c>
      <c r="H55" s="106" t="s">
        <v>116</v>
      </c>
      <c r="I55" s="106">
        <v>2017</v>
      </c>
    </row>
    <row r="56" spans="1:9" s="110" customFormat="1" ht="14.25">
      <c r="A56" s="129" t="s">
        <v>7</v>
      </c>
      <c r="B56" s="114">
        <f>SUM(B53:B55)</f>
        <v>500</v>
      </c>
      <c r="C56" s="108">
        <f t="shared" ref="C56" si="10">SUM(C53:C55)</f>
        <v>382.84000000000003</v>
      </c>
      <c r="D56" s="108">
        <f t="shared" ref="D56:G56" si="11">SUM(D53:D55)</f>
        <v>12.943999999999999</v>
      </c>
      <c r="E56" s="108">
        <f t="shared" si="11"/>
        <v>13.843999999999999</v>
      </c>
      <c r="F56" s="108">
        <f t="shared" si="11"/>
        <v>69.027000000000001</v>
      </c>
      <c r="G56" s="108">
        <f t="shared" si="11"/>
        <v>382.84000000000003</v>
      </c>
      <c r="H56" s="109"/>
      <c r="I56" s="109"/>
    </row>
    <row r="57" spans="1:9" s="110" customFormat="1" ht="14.25">
      <c r="A57" s="205" t="s">
        <v>92</v>
      </c>
      <c r="B57" s="206"/>
      <c r="C57" s="115">
        <f>C56+C51+C41</f>
        <v>2104.8791774891774</v>
      </c>
      <c r="D57" s="115">
        <f>D56+D51+D41</f>
        <v>72.099352380952382</v>
      </c>
      <c r="E57" s="115">
        <f>E56+E51+E41</f>
        <v>98.288442424242447</v>
      </c>
      <c r="F57" s="115">
        <f>F56+F51+F41</f>
        <v>242.97600324675327</v>
      </c>
      <c r="G57" s="115">
        <f>G56+G51+G41</f>
        <v>2104.8791774891774</v>
      </c>
      <c r="H57" s="109"/>
      <c r="I57" s="109"/>
    </row>
    <row r="58" spans="1:9">
      <c r="A58" s="200" t="s">
        <v>172</v>
      </c>
      <c r="B58" s="200"/>
      <c r="C58" s="200"/>
      <c r="D58" s="200"/>
      <c r="E58" s="200"/>
      <c r="F58" s="200"/>
      <c r="G58" s="200"/>
      <c r="H58" s="200"/>
      <c r="I58" s="200"/>
    </row>
    <row r="59" spans="1:9">
      <c r="A59" s="217" t="s">
        <v>173</v>
      </c>
      <c r="B59" s="217"/>
      <c r="C59" s="217"/>
      <c r="D59" s="217"/>
      <c r="E59" s="217"/>
      <c r="F59" s="217"/>
      <c r="G59" s="217"/>
      <c r="H59" s="217"/>
      <c r="I59" s="217"/>
    </row>
    <row r="60" spans="1:9" ht="13.9" customHeight="1">
      <c r="A60" s="208" t="s">
        <v>0</v>
      </c>
      <c r="B60" s="203" t="s">
        <v>1</v>
      </c>
      <c r="C60" s="201" t="s">
        <v>2</v>
      </c>
      <c r="D60" s="218" t="s">
        <v>88</v>
      </c>
      <c r="E60" s="219"/>
      <c r="F60" s="220"/>
      <c r="G60" s="201" t="s">
        <v>2</v>
      </c>
      <c r="H60" s="203" t="s">
        <v>100</v>
      </c>
      <c r="I60" s="203" t="s">
        <v>156</v>
      </c>
    </row>
    <row r="61" spans="1:9" ht="30">
      <c r="A61" s="209"/>
      <c r="B61" s="204"/>
      <c r="C61" s="202"/>
      <c r="D61" s="102" t="s">
        <v>89</v>
      </c>
      <c r="E61" s="102" t="s">
        <v>90</v>
      </c>
      <c r="F61" s="102" t="s">
        <v>91</v>
      </c>
      <c r="G61" s="202"/>
      <c r="H61" s="204"/>
      <c r="I61" s="204"/>
    </row>
    <row r="62" spans="1:9">
      <c r="A62" s="214" t="s">
        <v>157</v>
      </c>
      <c r="B62" s="215"/>
      <c r="C62" s="215"/>
      <c r="D62" s="215"/>
      <c r="E62" s="215"/>
      <c r="F62" s="215"/>
      <c r="G62" s="215"/>
      <c r="H62" s="215"/>
      <c r="I62" s="216"/>
    </row>
    <row r="63" spans="1:9" ht="13.9" customHeight="1">
      <c r="A63" s="128" t="s">
        <v>28</v>
      </c>
      <c r="B63" s="103">
        <v>100</v>
      </c>
      <c r="C63" s="104">
        <f>10*0.1</f>
        <v>1</v>
      </c>
      <c r="D63" s="104">
        <f>0.56*0.1</f>
        <v>5.6000000000000008E-2</v>
      </c>
      <c r="E63" s="104">
        <f>0.05*2</f>
        <v>0.1</v>
      </c>
      <c r="F63" s="104">
        <f>1.75*0.1</f>
        <v>0.17500000000000002</v>
      </c>
      <c r="G63" s="104">
        <f>10*0.1</f>
        <v>1</v>
      </c>
      <c r="H63" s="106" t="s">
        <v>117</v>
      </c>
      <c r="I63" s="106" t="s">
        <v>159</v>
      </c>
    </row>
    <row r="64" spans="1:9">
      <c r="A64" s="128" t="s">
        <v>77</v>
      </c>
      <c r="B64" s="103">
        <v>200</v>
      </c>
      <c r="C64" s="104">
        <f>200*200/117</f>
        <v>341.88034188034186</v>
      </c>
      <c r="D64" s="104">
        <f>12.26*200/117</f>
        <v>20.957264957264957</v>
      </c>
      <c r="E64" s="104">
        <f>7.78*200/117</f>
        <v>13.2991452991453</v>
      </c>
      <c r="F64" s="104">
        <f>20.13*200/117</f>
        <v>34.410256410256409</v>
      </c>
      <c r="G64" s="104">
        <f>200*200/117</f>
        <v>341.88034188034186</v>
      </c>
      <c r="H64" s="106" t="s">
        <v>174</v>
      </c>
      <c r="I64" s="106" t="s">
        <v>159</v>
      </c>
    </row>
    <row r="65" spans="1:9">
      <c r="A65" s="128" t="s">
        <v>29</v>
      </c>
      <c r="B65" s="103">
        <v>200</v>
      </c>
      <c r="C65" s="104">
        <v>83.4</v>
      </c>
      <c r="D65" s="104">
        <f>5*0.2</f>
        <v>1</v>
      </c>
      <c r="E65" s="104">
        <v>0.2</v>
      </c>
      <c r="F65" s="104">
        <v>19.600000000000001</v>
      </c>
      <c r="G65" s="104">
        <v>83.4</v>
      </c>
      <c r="H65" s="106" t="s">
        <v>107</v>
      </c>
      <c r="I65" s="106" t="s">
        <v>159</v>
      </c>
    </row>
    <row r="66" spans="1:9">
      <c r="A66" s="128" t="s">
        <v>5</v>
      </c>
      <c r="B66" s="103">
        <v>30</v>
      </c>
      <c r="C66" s="105">
        <v>71</v>
      </c>
      <c r="D66" s="105">
        <v>2.2999999999999998</v>
      </c>
      <c r="E66" s="105">
        <v>0.2</v>
      </c>
      <c r="F66" s="105">
        <v>15.1</v>
      </c>
      <c r="G66" s="105">
        <v>71</v>
      </c>
      <c r="H66" s="106"/>
      <c r="I66" s="106" t="s">
        <v>160</v>
      </c>
    </row>
    <row r="67" spans="1:9">
      <c r="A67" s="130" t="s">
        <v>6</v>
      </c>
      <c r="B67" s="103">
        <v>20</v>
      </c>
      <c r="C67" s="105">
        <v>40.799999999999997</v>
      </c>
      <c r="D67" s="105">
        <v>1.3</v>
      </c>
      <c r="E67" s="105">
        <v>0.2</v>
      </c>
      <c r="F67" s="105">
        <v>8.5</v>
      </c>
      <c r="G67" s="105">
        <v>40.799999999999997</v>
      </c>
      <c r="H67" s="106"/>
      <c r="I67" s="106">
        <v>2020</v>
      </c>
    </row>
    <row r="68" spans="1:9" s="110" customFormat="1" ht="14.25">
      <c r="A68" s="129" t="s">
        <v>7</v>
      </c>
      <c r="B68" s="114">
        <f t="shared" ref="B68:G68" si="12">SUM(B63:B67)</f>
        <v>550</v>
      </c>
      <c r="C68" s="108">
        <f t="shared" ref="C68" si="13">SUM(C63:C67)</f>
        <v>538.08034188034185</v>
      </c>
      <c r="D68" s="108">
        <f t="shared" si="12"/>
        <v>25.61326495726496</v>
      </c>
      <c r="E68" s="108">
        <f t="shared" si="12"/>
        <v>13.999145299145297</v>
      </c>
      <c r="F68" s="108">
        <f t="shared" si="12"/>
        <v>77.785256410256409</v>
      </c>
      <c r="G68" s="108">
        <f t="shared" si="12"/>
        <v>538.08034188034185</v>
      </c>
      <c r="H68" s="109"/>
      <c r="I68" s="109"/>
    </row>
    <row r="69" spans="1:9">
      <c r="A69" s="214" t="s">
        <v>161</v>
      </c>
      <c r="B69" s="215"/>
      <c r="C69" s="215"/>
      <c r="D69" s="215"/>
      <c r="E69" s="215"/>
      <c r="F69" s="215"/>
      <c r="G69" s="215"/>
      <c r="H69" s="215"/>
      <c r="I69" s="216"/>
    </row>
    <row r="70" spans="1:9" ht="13.9" customHeight="1">
      <c r="A70" s="128" t="s">
        <v>30</v>
      </c>
      <c r="B70" s="103">
        <v>100</v>
      </c>
      <c r="C70" s="104">
        <f>604*0.1</f>
        <v>60.400000000000006</v>
      </c>
      <c r="D70" s="104">
        <f>13.12*0.1</f>
        <v>1.3120000000000001</v>
      </c>
      <c r="E70" s="104">
        <f>32.49*0.1</f>
        <v>3.2490000000000006</v>
      </c>
      <c r="F70" s="104">
        <f>64.56*0.1</f>
        <v>6.4560000000000004</v>
      </c>
      <c r="G70" s="104">
        <f>604*0.1</f>
        <v>60.400000000000006</v>
      </c>
      <c r="H70" s="106" t="s">
        <v>118</v>
      </c>
      <c r="I70" s="106" t="s">
        <v>159</v>
      </c>
    </row>
    <row r="71" spans="1:9">
      <c r="A71" s="128" t="s">
        <v>31</v>
      </c>
      <c r="B71" s="103">
        <v>250</v>
      </c>
      <c r="C71" s="104">
        <f>460*0.25</f>
        <v>115</v>
      </c>
      <c r="D71" s="104">
        <f>22.39*0.25</f>
        <v>5.5975000000000001</v>
      </c>
      <c r="E71" s="104">
        <f>19.2*0.25</f>
        <v>4.8</v>
      </c>
      <c r="F71" s="104">
        <f>40.7*0.25</f>
        <v>10.175000000000001</v>
      </c>
      <c r="G71" s="104">
        <f>460*0.25</f>
        <v>115</v>
      </c>
      <c r="H71" s="106" t="s">
        <v>175</v>
      </c>
      <c r="I71" s="106" t="s">
        <v>176</v>
      </c>
    </row>
    <row r="72" spans="1:9">
      <c r="A72" s="128" t="s">
        <v>177</v>
      </c>
      <c r="B72" s="103">
        <v>200</v>
      </c>
      <c r="C72" s="104">
        <f>295*200/175</f>
        <v>337.14285714285717</v>
      </c>
      <c r="D72" s="104">
        <v>12.51</v>
      </c>
      <c r="E72" s="104">
        <v>18.670000000000002</v>
      </c>
      <c r="F72" s="104">
        <f>16.58*200/175</f>
        <v>18.948571428571427</v>
      </c>
      <c r="G72" s="104">
        <f>295*200/175</f>
        <v>337.14285714285717</v>
      </c>
      <c r="H72" s="106" t="s">
        <v>119</v>
      </c>
      <c r="I72" s="106" t="s">
        <v>159</v>
      </c>
    </row>
    <row r="73" spans="1:9" ht="13.9" customHeight="1">
      <c r="A73" s="128" t="s">
        <v>78</v>
      </c>
      <c r="B73" s="103">
        <v>180</v>
      </c>
      <c r="C73" s="104">
        <f>100*180/200</f>
        <v>90</v>
      </c>
      <c r="D73" s="104">
        <f>5.8*180/200</f>
        <v>5.22</v>
      </c>
      <c r="E73" s="104">
        <f>5*180/200</f>
        <v>4.5</v>
      </c>
      <c r="F73" s="104">
        <f>8*180/200</f>
        <v>7.2</v>
      </c>
      <c r="G73" s="104">
        <f>100*180/200</f>
        <v>90</v>
      </c>
      <c r="H73" s="106" t="s">
        <v>109</v>
      </c>
      <c r="I73" s="106" t="s">
        <v>159</v>
      </c>
    </row>
    <row r="74" spans="1:9" ht="13.9" customHeight="1">
      <c r="A74" s="3" t="s">
        <v>80</v>
      </c>
      <c r="B74" s="103">
        <v>25</v>
      </c>
      <c r="C74" s="116">
        <v>104.3</v>
      </c>
      <c r="D74" s="116">
        <v>1.9</v>
      </c>
      <c r="E74" s="116">
        <v>2.5</v>
      </c>
      <c r="F74" s="116">
        <v>18.600000000000001</v>
      </c>
      <c r="G74" s="116">
        <v>104.3</v>
      </c>
      <c r="H74" s="106"/>
      <c r="I74" s="106"/>
    </row>
    <row r="75" spans="1:9">
      <c r="A75" s="128" t="s">
        <v>79</v>
      </c>
      <c r="B75" s="103">
        <v>100</v>
      </c>
      <c r="C75" s="105">
        <v>56.4</v>
      </c>
      <c r="D75" s="105">
        <v>0.5</v>
      </c>
      <c r="E75" s="105">
        <v>0.5</v>
      </c>
      <c r="F75" s="105">
        <v>11.8</v>
      </c>
      <c r="G75" s="105">
        <v>56.4</v>
      </c>
      <c r="H75" s="106" t="s">
        <v>103</v>
      </c>
      <c r="I75" s="106" t="s">
        <v>159</v>
      </c>
    </row>
    <row r="76" spans="1:9">
      <c r="A76" s="128" t="s">
        <v>5</v>
      </c>
      <c r="B76" s="103">
        <v>30</v>
      </c>
      <c r="C76" s="105">
        <v>71</v>
      </c>
      <c r="D76" s="105">
        <v>2.2999999999999998</v>
      </c>
      <c r="E76" s="105">
        <v>0.2</v>
      </c>
      <c r="F76" s="105">
        <v>15.1</v>
      </c>
      <c r="G76" s="105">
        <v>71</v>
      </c>
      <c r="H76" s="106"/>
      <c r="I76" s="106" t="s">
        <v>160</v>
      </c>
    </row>
    <row r="77" spans="1:9">
      <c r="A77" s="128" t="s">
        <v>6</v>
      </c>
      <c r="B77" s="103">
        <v>30</v>
      </c>
      <c r="C77" s="105">
        <v>61.2</v>
      </c>
      <c r="D77" s="105">
        <v>2</v>
      </c>
      <c r="E77" s="105">
        <v>0.3</v>
      </c>
      <c r="F77" s="105">
        <v>12.7</v>
      </c>
      <c r="G77" s="105">
        <v>61.2</v>
      </c>
      <c r="H77" s="106"/>
      <c r="I77" s="106">
        <v>2020</v>
      </c>
    </row>
    <row r="78" spans="1:9" s="110" customFormat="1" ht="14.25">
      <c r="A78" s="129" t="s">
        <v>7</v>
      </c>
      <c r="B78" s="112">
        <f t="shared" ref="B78:G78" si="14">SUM(B70:B77)</f>
        <v>915</v>
      </c>
      <c r="C78" s="108">
        <f t="shared" si="14"/>
        <v>895.44285714285718</v>
      </c>
      <c r="D78" s="108">
        <f t="shared" si="14"/>
        <v>31.339499999999997</v>
      </c>
      <c r="E78" s="108">
        <f t="shared" si="14"/>
        <v>34.719000000000001</v>
      </c>
      <c r="F78" s="108">
        <f t="shared" si="14"/>
        <v>100.97957142857143</v>
      </c>
      <c r="G78" s="108">
        <f t="shared" si="14"/>
        <v>895.44285714285718</v>
      </c>
      <c r="H78" s="109"/>
      <c r="I78" s="109"/>
    </row>
    <row r="79" spans="1:9">
      <c r="A79" s="214" t="s">
        <v>164</v>
      </c>
      <c r="B79" s="215"/>
      <c r="C79" s="215"/>
      <c r="D79" s="215"/>
      <c r="E79" s="215"/>
      <c r="F79" s="215"/>
      <c r="G79" s="215"/>
      <c r="H79" s="215"/>
      <c r="I79" s="216"/>
    </row>
    <row r="80" spans="1:9">
      <c r="A80" s="128" t="s">
        <v>178</v>
      </c>
      <c r="B80" s="103">
        <v>150</v>
      </c>
      <c r="C80" s="104">
        <v>226.25</v>
      </c>
      <c r="D80" s="104">
        <v>12.15</v>
      </c>
      <c r="E80" s="104">
        <v>7.38</v>
      </c>
      <c r="F80" s="104">
        <v>27.75</v>
      </c>
      <c r="G80" s="104">
        <v>226.25</v>
      </c>
      <c r="H80" s="106" t="s">
        <v>120</v>
      </c>
      <c r="I80" s="106">
        <v>2017</v>
      </c>
    </row>
    <row r="81" spans="1:9">
      <c r="A81" s="128" t="s">
        <v>4</v>
      </c>
      <c r="B81" s="103">
        <v>200</v>
      </c>
      <c r="C81" s="104">
        <v>81</v>
      </c>
      <c r="D81" s="104">
        <v>1.52</v>
      </c>
      <c r="E81" s="104">
        <v>1.35</v>
      </c>
      <c r="F81" s="104">
        <v>15.9</v>
      </c>
      <c r="G81" s="104">
        <v>81</v>
      </c>
      <c r="H81" s="106" t="s">
        <v>102</v>
      </c>
      <c r="I81" s="106" t="s">
        <v>159</v>
      </c>
    </row>
    <row r="82" spans="1:9" s="110" customFormat="1" ht="14.25">
      <c r="A82" s="129" t="s">
        <v>7</v>
      </c>
      <c r="B82" s="107">
        <f>B80+B81</f>
        <v>350</v>
      </c>
      <c r="C82" s="108">
        <f t="shared" ref="C82" si="15">C80+C81</f>
        <v>307.25</v>
      </c>
      <c r="D82" s="108">
        <f t="shared" ref="D82:G82" si="16">D80+D81</f>
        <v>13.67</v>
      </c>
      <c r="E82" s="108">
        <f t="shared" si="16"/>
        <v>8.73</v>
      </c>
      <c r="F82" s="108">
        <f t="shared" si="16"/>
        <v>43.65</v>
      </c>
      <c r="G82" s="108">
        <f t="shared" si="16"/>
        <v>307.25</v>
      </c>
      <c r="H82" s="109"/>
      <c r="I82" s="109"/>
    </row>
    <row r="83" spans="1:9" s="110" customFormat="1" ht="14.25">
      <c r="A83" s="205" t="s">
        <v>92</v>
      </c>
      <c r="B83" s="206"/>
      <c r="C83" s="115">
        <f>C82+C78+C68</f>
        <v>1740.7731990231989</v>
      </c>
      <c r="D83" s="115">
        <f>D82+D78+D68</f>
        <v>70.622764957264963</v>
      </c>
      <c r="E83" s="115">
        <f>E82+E78+E68</f>
        <v>57.448145299145295</v>
      </c>
      <c r="F83" s="115">
        <f>F82+F78+F68</f>
        <v>222.41482783882785</v>
      </c>
      <c r="G83" s="115">
        <f>G82+G78+G68</f>
        <v>1740.7731990231989</v>
      </c>
      <c r="H83" s="109"/>
      <c r="I83" s="109"/>
    </row>
    <row r="84" spans="1:9">
      <c r="A84" s="200" t="s">
        <v>179</v>
      </c>
      <c r="B84" s="200"/>
      <c r="C84" s="200"/>
      <c r="D84" s="200"/>
      <c r="E84" s="200"/>
      <c r="F84" s="200"/>
      <c r="G84" s="200"/>
      <c r="H84" s="200"/>
      <c r="I84" s="200"/>
    </row>
    <row r="85" spans="1:9">
      <c r="A85" s="217" t="s">
        <v>180</v>
      </c>
      <c r="B85" s="217"/>
      <c r="C85" s="217"/>
      <c r="D85" s="217"/>
      <c r="E85" s="217"/>
      <c r="F85" s="217"/>
      <c r="G85" s="217"/>
      <c r="H85" s="217"/>
      <c r="I85" s="217"/>
    </row>
    <row r="86" spans="1:9" ht="13.9" customHeight="1">
      <c r="A86" s="208" t="s">
        <v>0</v>
      </c>
      <c r="B86" s="203" t="s">
        <v>1</v>
      </c>
      <c r="C86" s="201" t="s">
        <v>2</v>
      </c>
      <c r="D86" s="218" t="s">
        <v>88</v>
      </c>
      <c r="E86" s="219"/>
      <c r="F86" s="220"/>
      <c r="G86" s="201" t="s">
        <v>2</v>
      </c>
      <c r="H86" s="203" t="s">
        <v>100</v>
      </c>
      <c r="I86" s="203" t="s">
        <v>156</v>
      </c>
    </row>
    <row r="87" spans="1:9" ht="30">
      <c r="A87" s="209"/>
      <c r="B87" s="204"/>
      <c r="C87" s="202"/>
      <c r="D87" s="102" t="s">
        <v>89</v>
      </c>
      <c r="E87" s="102" t="s">
        <v>90</v>
      </c>
      <c r="F87" s="102" t="s">
        <v>91</v>
      </c>
      <c r="G87" s="202"/>
      <c r="H87" s="204"/>
      <c r="I87" s="204"/>
    </row>
    <row r="88" spans="1:9">
      <c r="A88" s="214" t="s">
        <v>157</v>
      </c>
      <c r="B88" s="215"/>
      <c r="C88" s="215"/>
      <c r="D88" s="215"/>
      <c r="E88" s="215"/>
      <c r="F88" s="215"/>
      <c r="G88" s="215"/>
      <c r="H88" s="215"/>
      <c r="I88" s="216"/>
    </row>
    <row r="89" spans="1:9">
      <c r="A89" s="128" t="s">
        <v>32</v>
      </c>
      <c r="B89" s="103">
        <v>100</v>
      </c>
      <c r="C89" s="104">
        <f>857*0.1</f>
        <v>85.7</v>
      </c>
      <c r="D89" s="104">
        <f>17.07*0.1</f>
        <v>1.7070000000000001</v>
      </c>
      <c r="E89" s="104">
        <f>50.04*0.1</f>
        <v>5.0040000000000004</v>
      </c>
      <c r="F89" s="104">
        <f>84.58*0.1</f>
        <v>8.4580000000000002</v>
      </c>
      <c r="G89" s="104">
        <f>857*0.1</f>
        <v>85.7</v>
      </c>
      <c r="H89" s="106" t="s">
        <v>121</v>
      </c>
      <c r="I89" s="106" t="s">
        <v>159</v>
      </c>
    </row>
    <row r="90" spans="1:9">
      <c r="A90" s="128" t="s">
        <v>33</v>
      </c>
      <c r="B90" s="103">
        <v>200</v>
      </c>
      <c r="C90" s="104">
        <f>208*200/175</f>
        <v>237.71428571428572</v>
      </c>
      <c r="D90" s="104">
        <f>12.81*200/175</f>
        <v>14.64</v>
      </c>
      <c r="E90" s="104">
        <f>10.65*200/175</f>
        <v>12.171428571428571</v>
      </c>
      <c r="F90" s="104">
        <f>15.2*200/175</f>
        <v>17.37142857142857</v>
      </c>
      <c r="G90" s="104">
        <f>208*200/175</f>
        <v>237.71428571428572</v>
      </c>
      <c r="H90" s="106" t="s">
        <v>122</v>
      </c>
      <c r="I90" s="106" t="s">
        <v>159</v>
      </c>
    </row>
    <row r="91" spans="1:9">
      <c r="A91" s="128" t="s">
        <v>4</v>
      </c>
      <c r="B91" s="103">
        <v>180</v>
      </c>
      <c r="C91" s="74">
        <f>81*180/200</f>
        <v>72.900000000000006</v>
      </c>
      <c r="D91" s="74">
        <f>1.52*180/200</f>
        <v>1.3680000000000001</v>
      </c>
      <c r="E91" s="74">
        <f>1.35*180/200</f>
        <v>1.2150000000000001</v>
      </c>
      <c r="F91" s="74">
        <f>15.9*180/200</f>
        <v>14.31</v>
      </c>
      <c r="G91" s="74">
        <f>81*180/200</f>
        <v>72.900000000000006</v>
      </c>
      <c r="H91" s="106" t="s">
        <v>102</v>
      </c>
      <c r="I91" s="106" t="s">
        <v>159</v>
      </c>
    </row>
    <row r="92" spans="1:9">
      <c r="A92" s="128" t="s">
        <v>72</v>
      </c>
      <c r="B92" s="103">
        <v>100</v>
      </c>
      <c r="C92" s="104">
        <v>56.4</v>
      </c>
      <c r="D92" s="104">
        <v>0.5</v>
      </c>
      <c r="E92" s="104">
        <v>0.5</v>
      </c>
      <c r="F92" s="104">
        <v>11.8</v>
      </c>
      <c r="G92" s="104">
        <v>56.4</v>
      </c>
      <c r="H92" s="106" t="s">
        <v>103</v>
      </c>
      <c r="I92" s="106" t="s">
        <v>159</v>
      </c>
    </row>
    <row r="93" spans="1:9">
      <c r="A93" s="128" t="s">
        <v>5</v>
      </c>
      <c r="B93" s="103">
        <v>40</v>
      </c>
      <c r="C93" s="105">
        <v>94.7</v>
      </c>
      <c r="D93" s="105">
        <v>3.1</v>
      </c>
      <c r="E93" s="105">
        <v>0.2</v>
      </c>
      <c r="F93" s="105">
        <v>20.100000000000001</v>
      </c>
      <c r="G93" s="105">
        <v>94.7</v>
      </c>
      <c r="H93" s="106"/>
      <c r="I93" s="106" t="s">
        <v>160</v>
      </c>
    </row>
    <row r="94" spans="1:9" s="110" customFormat="1" ht="14.25">
      <c r="A94" s="129" t="s">
        <v>7</v>
      </c>
      <c r="B94" s="114">
        <f t="shared" ref="B94:G94" si="17">SUM(B89:B93)</f>
        <v>620</v>
      </c>
      <c r="C94" s="108">
        <f t="shared" ref="C94" si="18">SUM(C89:C93)</f>
        <v>547.41428571428571</v>
      </c>
      <c r="D94" s="108">
        <f t="shared" si="17"/>
        <v>21.315000000000001</v>
      </c>
      <c r="E94" s="108">
        <f t="shared" si="17"/>
        <v>19.090428571428571</v>
      </c>
      <c r="F94" s="108">
        <f t="shared" si="17"/>
        <v>72.039428571428573</v>
      </c>
      <c r="G94" s="108">
        <f t="shared" si="17"/>
        <v>547.41428571428571</v>
      </c>
      <c r="H94" s="109"/>
      <c r="I94" s="109"/>
    </row>
    <row r="95" spans="1:9">
      <c r="A95" s="214" t="s">
        <v>161</v>
      </c>
      <c r="B95" s="215"/>
      <c r="C95" s="215"/>
      <c r="D95" s="215"/>
      <c r="E95" s="215"/>
      <c r="F95" s="215"/>
      <c r="G95" s="215"/>
      <c r="H95" s="215"/>
      <c r="I95" s="216"/>
    </row>
    <row r="96" spans="1:9">
      <c r="A96" s="128" t="s">
        <v>181</v>
      </c>
      <c r="B96" s="103">
        <v>100</v>
      </c>
      <c r="C96" s="105">
        <v>133</v>
      </c>
      <c r="D96" s="105">
        <v>2.5</v>
      </c>
      <c r="E96" s="105">
        <v>5.4</v>
      </c>
      <c r="F96" s="105">
        <v>13.7</v>
      </c>
      <c r="G96" s="105">
        <v>133</v>
      </c>
      <c r="H96" s="106" t="s">
        <v>182</v>
      </c>
      <c r="I96" s="106" t="s">
        <v>159</v>
      </c>
    </row>
    <row r="97" spans="1:9">
      <c r="A97" s="128" t="s">
        <v>34</v>
      </c>
      <c r="B97" s="103">
        <v>250</v>
      </c>
      <c r="C97" s="105">
        <v>117.7</v>
      </c>
      <c r="D97" s="105">
        <v>2.1</v>
      </c>
      <c r="E97" s="105">
        <v>5.2</v>
      </c>
      <c r="F97" s="105">
        <v>15.5</v>
      </c>
      <c r="G97" s="105">
        <v>117.7</v>
      </c>
      <c r="H97" s="106" t="s">
        <v>123</v>
      </c>
      <c r="I97" s="106" t="s">
        <v>159</v>
      </c>
    </row>
    <row r="98" spans="1:9" ht="13.9" hidden="1" customHeight="1">
      <c r="A98" s="128"/>
      <c r="B98" s="103"/>
      <c r="C98" s="105"/>
      <c r="D98" s="105"/>
      <c r="E98" s="105"/>
      <c r="F98" s="105"/>
      <c r="G98" s="105"/>
      <c r="H98" s="106"/>
      <c r="I98" s="106"/>
    </row>
    <row r="99" spans="1:9" s="29" customFormat="1" ht="13.9" customHeight="1">
      <c r="A99" s="3" t="s">
        <v>183</v>
      </c>
      <c r="B99" s="117">
        <v>250</v>
      </c>
      <c r="C99" s="74">
        <f>362.03*250/215</f>
        <v>420.96511627906978</v>
      </c>
      <c r="D99" s="74">
        <f>13.51*250/215</f>
        <v>15.709302325581396</v>
      </c>
      <c r="E99" s="74">
        <f>15.34*250/215</f>
        <v>17.837209302325583</v>
      </c>
      <c r="F99" s="74">
        <f>33.59*250/215</f>
        <v>39.058139534883722</v>
      </c>
      <c r="G99" s="74">
        <f>362.03*250/215</f>
        <v>420.96511627906978</v>
      </c>
      <c r="H99" s="2" t="s">
        <v>106</v>
      </c>
      <c r="I99" s="86" t="s">
        <v>159</v>
      </c>
    </row>
    <row r="100" spans="1:9">
      <c r="A100" s="128" t="s">
        <v>11</v>
      </c>
      <c r="B100" s="103">
        <v>200</v>
      </c>
      <c r="C100" s="74">
        <v>83.4</v>
      </c>
      <c r="D100" s="74">
        <f>5*0.2</f>
        <v>1</v>
      </c>
      <c r="E100" s="74">
        <v>0.2</v>
      </c>
      <c r="F100" s="74">
        <v>19.600000000000001</v>
      </c>
      <c r="G100" s="74">
        <v>83.4</v>
      </c>
      <c r="H100" s="106" t="s">
        <v>107</v>
      </c>
      <c r="I100" s="106" t="s">
        <v>159</v>
      </c>
    </row>
    <row r="101" spans="1:9">
      <c r="A101" s="128" t="s">
        <v>5</v>
      </c>
      <c r="B101" s="103">
        <v>50</v>
      </c>
      <c r="C101" s="105">
        <v>118.4</v>
      </c>
      <c r="D101" s="105">
        <v>3.8</v>
      </c>
      <c r="E101" s="105">
        <v>0.3</v>
      </c>
      <c r="F101" s="105">
        <v>25.1</v>
      </c>
      <c r="G101" s="105">
        <v>118.4</v>
      </c>
      <c r="H101" s="106"/>
      <c r="I101" s="106">
        <v>2020</v>
      </c>
    </row>
    <row r="102" spans="1:9">
      <c r="A102" s="128" t="s">
        <v>6</v>
      </c>
      <c r="B102" s="103">
        <v>30</v>
      </c>
      <c r="C102" s="105">
        <v>61.2</v>
      </c>
      <c r="D102" s="105">
        <v>2</v>
      </c>
      <c r="E102" s="105">
        <v>0.3</v>
      </c>
      <c r="F102" s="105">
        <v>12.7</v>
      </c>
      <c r="G102" s="105">
        <v>61.2</v>
      </c>
      <c r="H102" s="106"/>
      <c r="I102" s="106">
        <v>2020</v>
      </c>
    </row>
    <row r="103" spans="1:9" s="110" customFormat="1" ht="14.25">
      <c r="A103" s="129" t="s">
        <v>7</v>
      </c>
      <c r="B103" s="112">
        <f>SUM(B96:B102)</f>
        <v>880</v>
      </c>
      <c r="C103" s="108">
        <f t="shared" ref="C103" si="19">SUM(C96:C102)</f>
        <v>934.66511627906971</v>
      </c>
      <c r="D103" s="108">
        <f t="shared" ref="D103:G103" si="20">SUM(D96:D102)</f>
        <v>27.109302325581396</v>
      </c>
      <c r="E103" s="108">
        <f t="shared" si="20"/>
        <v>29.237209302325585</v>
      </c>
      <c r="F103" s="108">
        <f t="shared" si="20"/>
        <v>125.65813953488372</v>
      </c>
      <c r="G103" s="108">
        <f t="shared" si="20"/>
        <v>934.66511627906971</v>
      </c>
      <c r="H103" s="109"/>
      <c r="I103" s="109"/>
    </row>
    <row r="104" spans="1:9">
      <c r="A104" s="214" t="s">
        <v>164</v>
      </c>
      <c r="B104" s="215"/>
      <c r="C104" s="215"/>
      <c r="D104" s="215"/>
      <c r="E104" s="215"/>
      <c r="F104" s="215"/>
      <c r="G104" s="215"/>
      <c r="H104" s="215"/>
      <c r="I104" s="216"/>
    </row>
    <row r="105" spans="1:9" ht="13.9" customHeight="1">
      <c r="A105" s="128" t="s">
        <v>184</v>
      </c>
      <c r="B105" s="103">
        <v>200</v>
      </c>
      <c r="C105" s="75">
        <f>117.98*200/150</f>
        <v>157.30666666666667</v>
      </c>
      <c r="D105" s="75">
        <f>2.18*200/150</f>
        <v>2.9066666666666672</v>
      </c>
      <c r="E105" s="75">
        <f>2.18*200/150</f>
        <v>2.9066666666666672</v>
      </c>
      <c r="F105" s="75">
        <f>23.96*200/150</f>
        <v>31.946666666666665</v>
      </c>
      <c r="G105" s="75">
        <f>117.98*200/150</f>
        <v>157.30666666666667</v>
      </c>
      <c r="H105" s="106" t="s">
        <v>185</v>
      </c>
      <c r="I105" s="106">
        <v>2023</v>
      </c>
    </row>
    <row r="106" spans="1:9">
      <c r="A106" s="128" t="s">
        <v>20</v>
      </c>
      <c r="B106" s="103">
        <v>180</v>
      </c>
      <c r="C106" s="75">
        <f>503*0.18</f>
        <v>90.539999999999992</v>
      </c>
      <c r="D106" s="75">
        <f>15.83*0.18</f>
        <v>2.8493999999999997</v>
      </c>
      <c r="E106" s="75">
        <f>13.39*0.18</f>
        <v>2.4102000000000001</v>
      </c>
      <c r="F106" s="75">
        <f>79.73*0.18</f>
        <v>14.3514</v>
      </c>
      <c r="G106" s="75">
        <f>503*0.18</f>
        <v>90.539999999999992</v>
      </c>
      <c r="H106" s="106" t="s">
        <v>112</v>
      </c>
      <c r="I106" s="106" t="s">
        <v>159</v>
      </c>
    </row>
    <row r="107" spans="1:9">
      <c r="A107" s="130" t="s">
        <v>6</v>
      </c>
      <c r="B107" s="103">
        <v>20</v>
      </c>
      <c r="C107" s="105">
        <v>40.799999999999997</v>
      </c>
      <c r="D107" s="105">
        <v>1.3</v>
      </c>
      <c r="E107" s="105">
        <v>0.2</v>
      </c>
      <c r="F107" s="105">
        <v>8.5</v>
      </c>
      <c r="G107" s="105">
        <v>40.799999999999997</v>
      </c>
      <c r="H107" s="106"/>
      <c r="I107" s="106" t="s">
        <v>160</v>
      </c>
    </row>
    <row r="108" spans="1:9" s="110" customFormat="1" ht="14.25">
      <c r="A108" s="129" t="s">
        <v>7</v>
      </c>
      <c r="B108" s="114">
        <f>SUM(B105:B107)</f>
        <v>400</v>
      </c>
      <c r="C108" s="108">
        <f t="shared" ref="C108" si="21">SUM(C105:C107)</f>
        <v>288.64666666666665</v>
      </c>
      <c r="D108" s="108">
        <f t="shared" ref="D108:G108" si="22">SUM(D105:D107)</f>
        <v>7.0560666666666672</v>
      </c>
      <c r="E108" s="108">
        <f t="shared" si="22"/>
        <v>5.5168666666666679</v>
      </c>
      <c r="F108" s="108">
        <f t="shared" si="22"/>
        <v>54.798066666666664</v>
      </c>
      <c r="G108" s="108">
        <f t="shared" si="22"/>
        <v>288.64666666666665</v>
      </c>
      <c r="H108" s="109"/>
      <c r="I108" s="109"/>
    </row>
    <row r="109" spans="1:9" s="110" customFormat="1" ht="14.25">
      <c r="A109" s="205" t="s">
        <v>92</v>
      </c>
      <c r="B109" s="206"/>
      <c r="C109" s="115">
        <f>C108+C103+C94</f>
        <v>1770.7260686600221</v>
      </c>
      <c r="D109" s="115">
        <f>D108+D103+D94</f>
        <v>55.48036899224806</v>
      </c>
      <c r="E109" s="115">
        <f>E108+E103+E94</f>
        <v>53.844504540420829</v>
      </c>
      <c r="F109" s="115">
        <f>F108+F103+F94</f>
        <v>252.49563477297895</v>
      </c>
      <c r="G109" s="115">
        <f>G108+G103+G94</f>
        <v>1770.7260686600221</v>
      </c>
      <c r="H109" s="109"/>
      <c r="I109" s="109"/>
    </row>
    <row r="110" spans="1:9">
      <c r="A110" s="200" t="s">
        <v>186</v>
      </c>
      <c r="B110" s="200"/>
      <c r="C110" s="200"/>
      <c r="D110" s="200"/>
      <c r="E110" s="200"/>
      <c r="F110" s="200"/>
      <c r="G110" s="200"/>
      <c r="H110" s="200"/>
      <c r="I110" s="200"/>
    </row>
    <row r="111" spans="1:9">
      <c r="A111" s="217" t="s">
        <v>187</v>
      </c>
      <c r="B111" s="217"/>
      <c r="C111" s="217"/>
      <c r="D111" s="217"/>
      <c r="E111" s="217"/>
      <c r="F111" s="217"/>
      <c r="G111" s="217"/>
      <c r="H111" s="217"/>
      <c r="I111" s="217"/>
    </row>
    <row r="112" spans="1:9" ht="13.9" customHeight="1">
      <c r="A112" s="208" t="s">
        <v>0</v>
      </c>
      <c r="B112" s="203" t="s">
        <v>1</v>
      </c>
      <c r="C112" s="201" t="s">
        <v>2</v>
      </c>
      <c r="D112" s="218" t="s">
        <v>88</v>
      </c>
      <c r="E112" s="219"/>
      <c r="F112" s="220"/>
      <c r="G112" s="201" t="s">
        <v>2</v>
      </c>
      <c r="H112" s="203" t="s">
        <v>100</v>
      </c>
      <c r="I112" s="203" t="s">
        <v>156</v>
      </c>
    </row>
    <row r="113" spans="1:9" ht="30">
      <c r="A113" s="209"/>
      <c r="B113" s="204"/>
      <c r="C113" s="202"/>
      <c r="D113" s="102" t="s">
        <v>89</v>
      </c>
      <c r="E113" s="102" t="s">
        <v>90</v>
      </c>
      <c r="F113" s="102" t="s">
        <v>91</v>
      </c>
      <c r="G113" s="202"/>
      <c r="H113" s="204"/>
      <c r="I113" s="204"/>
    </row>
    <row r="114" spans="1:9">
      <c r="A114" s="214" t="s">
        <v>157</v>
      </c>
      <c r="B114" s="215"/>
      <c r="C114" s="215"/>
      <c r="D114" s="215"/>
      <c r="E114" s="215"/>
      <c r="F114" s="215"/>
      <c r="G114" s="215"/>
      <c r="H114" s="215"/>
      <c r="I114" s="216"/>
    </row>
    <row r="115" spans="1:9" ht="13.9" customHeight="1">
      <c r="A115" s="128" t="s">
        <v>35</v>
      </c>
      <c r="B115" s="103">
        <v>100</v>
      </c>
      <c r="C115" s="104">
        <f>792*0.1</f>
        <v>79.2</v>
      </c>
      <c r="D115" s="104">
        <f>22.74*0.1</f>
        <v>2.274</v>
      </c>
      <c r="E115" s="104">
        <f>3.97*0.1</f>
        <v>0.39700000000000002</v>
      </c>
      <c r="F115" s="104">
        <f>166.44*0.1</f>
        <v>16.644000000000002</v>
      </c>
      <c r="G115" s="104">
        <f>792*0.1</f>
        <v>79.2</v>
      </c>
      <c r="H115" s="106" t="s">
        <v>125</v>
      </c>
      <c r="I115" s="106" t="s">
        <v>159</v>
      </c>
    </row>
    <row r="116" spans="1:9">
      <c r="A116" s="128" t="s">
        <v>81</v>
      </c>
      <c r="B116" s="103">
        <v>200</v>
      </c>
      <c r="C116" s="74">
        <f>231*200/150</f>
        <v>308</v>
      </c>
      <c r="D116" s="74">
        <f>7.24*200/150</f>
        <v>9.6533333333333342</v>
      </c>
      <c r="E116" s="74">
        <f>12.25*200/150</f>
        <v>16.333333333333332</v>
      </c>
      <c r="F116" s="74">
        <f>11.52*200/150</f>
        <v>15.36</v>
      </c>
      <c r="G116" s="74">
        <f>231*200/150</f>
        <v>308</v>
      </c>
      <c r="H116" s="106">
        <v>206</v>
      </c>
      <c r="I116" s="106" t="s">
        <v>188</v>
      </c>
    </row>
    <row r="117" spans="1:9" ht="13.9" customHeight="1">
      <c r="A117" s="128" t="s">
        <v>26</v>
      </c>
      <c r="B117" s="103">
        <v>200</v>
      </c>
      <c r="C117" s="74">
        <f>596*0.2</f>
        <v>119.2</v>
      </c>
      <c r="D117" s="74">
        <f>0.54*0.2</f>
        <v>0.10800000000000001</v>
      </c>
      <c r="E117" s="74">
        <f>0</f>
        <v>0</v>
      </c>
      <c r="F117" s="74">
        <f>125.46*0.2</f>
        <v>25.091999999999999</v>
      </c>
      <c r="G117" s="74">
        <f>596*0.2</f>
        <v>119.2</v>
      </c>
      <c r="H117" s="106" t="s">
        <v>149</v>
      </c>
      <c r="I117" s="106" t="s">
        <v>188</v>
      </c>
    </row>
    <row r="118" spans="1:9">
      <c r="A118" s="128" t="s">
        <v>5</v>
      </c>
      <c r="B118" s="103">
        <v>30</v>
      </c>
      <c r="C118" s="105">
        <v>71</v>
      </c>
      <c r="D118" s="105">
        <v>2.2999999999999998</v>
      </c>
      <c r="E118" s="105">
        <v>0.2</v>
      </c>
      <c r="F118" s="105">
        <v>15.1</v>
      </c>
      <c r="G118" s="105">
        <v>71</v>
      </c>
      <c r="H118" s="106"/>
      <c r="I118" s="106" t="s">
        <v>160</v>
      </c>
    </row>
    <row r="119" spans="1:9">
      <c r="A119" s="128" t="s">
        <v>6</v>
      </c>
      <c r="B119" s="103">
        <v>20</v>
      </c>
      <c r="C119" s="105">
        <v>40.799999999999997</v>
      </c>
      <c r="D119" s="105">
        <v>1.3</v>
      </c>
      <c r="E119" s="105">
        <v>0.2</v>
      </c>
      <c r="F119" s="105">
        <v>8.5</v>
      </c>
      <c r="G119" s="105">
        <v>40.799999999999997</v>
      </c>
      <c r="H119" s="106"/>
      <c r="I119" s="106" t="s">
        <v>160</v>
      </c>
    </row>
    <row r="120" spans="1:9" s="110" customFormat="1" ht="14.25">
      <c r="A120" s="129" t="s">
        <v>7</v>
      </c>
      <c r="B120" s="114">
        <f t="shared" ref="B120:G120" si="23">SUM(B115:B119)</f>
        <v>550</v>
      </c>
      <c r="C120" s="108">
        <f t="shared" ref="C120" si="24">SUM(C115:C119)</f>
        <v>618.19999999999993</v>
      </c>
      <c r="D120" s="108">
        <f t="shared" si="23"/>
        <v>15.635333333333335</v>
      </c>
      <c r="E120" s="108">
        <f t="shared" si="23"/>
        <v>17.130333333333329</v>
      </c>
      <c r="F120" s="108">
        <f t="shared" si="23"/>
        <v>80.695999999999998</v>
      </c>
      <c r="G120" s="108">
        <f t="shared" si="23"/>
        <v>618.19999999999993</v>
      </c>
      <c r="H120" s="109"/>
      <c r="I120" s="109"/>
    </row>
    <row r="121" spans="1:9">
      <c r="A121" s="214" t="s">
        <v>161</v>
      </c>
      <c r="B121" s="215"/>
      <c r="C121" s="215"/>
      <c r="D121" s="215"/>
      <c r="E121" s="215"/>
      <c r="F121" s="215"/>
      <c r="G121" s="215"/>
      <c r="H121" s="215"/>
      <c r="I121" s="216"/>
    </row>
    <row r="122" spans="1:9" ht="13.9" customHeight="1">
      <c r="A122" s="128" t="s">
        <v>37</v>
      </c>
      <c r="B122" s="103">
        <v>100</v>
      </c>
      <c r="C122" s="104">
        <f>1340*0.1</f>
        <v>134</v>
      </c>
      <c r="D122" s="104">
        <f>18.52*0.1</f>
        <v>1.8520000000000001</v>
      </c>
      <c r="E122" s="104">
        <v>4.04</v>
      </c>
      <c r="F122" s="104">
        <f>180.63*0.1</f>
        <v>18.062999999999999</v>
      </c>
      <c r="G122" s="104">
        <f>1340*0.1</f>
        <v>134</v>
      </c>
      <c r="H122" s="106" t="s">
        <v>126</v>
      </c>
      <c r="I122" s="106" t="s">
        <v>159</v>
      </c>
    </row>
    <row r="123" spans="1:9">
      <c r="A123" s="128" t="s">
        <v>36</v>
      </c>
      <c r="B123" s="103">
        <v>250</v>
      </c>
      <c r="C123" s="104">
        <f>320*0.25</f>
        <v>80</v>
      </c>
      <c r="D123" s="104">
        <f>7.02*0.25</f>
        <v>1.7549999999999999</v>
      </c>
      <c r="E123" s="104">
        <f>19.54*0.25</f>
        <v>4.8849999999999998</v>
      </c>
      <c r="F123" s="104">
        <f>23.6*0.25</f>
        <v>5.9</v>
      </c>
      <c r="G123" s="104">
        <f>320*0.25</f>
        <v>80</v>
      </c>
      <c r="H123" s="106" t="s">
        <v>127</v>
      </c>
      <c r="I123" s="106" t="s">
        <v>159</v>
      </c>
    </row>
    <row r="124" spans="1:9" ht="13.9" customHeight="1">
      <c r="A124" s="128" t="s">
        <v>189</v>
      </c>
      <c r="B124" s="103">
        <v>200</v>
      </c>
      <c r="C124" s="104">
        <f>189*200/80</f>
        <v>472.5</v>
      </c>
      <c r="D124" s="104">
        <v>22.23</v>
      </c>
      <c r="E124" s="104">
        <v>12.35</v>
      </c>
      <c r="F124" s="104">
        <f>19.61*200/80</f>
        <v>49.024999999999999</v>
      </c>
      <c r="G124" s="104">
        <f>189*200/80</f>
        <v>472.5</v>
      </c>
      <c r="H124" s="106" t="s">
        <v>135</v>
      </c>
      <c r="I124" s="106" t="s">
        <v>159</v>
      </c>
    </row>
    <row r="125" spans="1:9" ht="13.9" customHeight="1">
      <c r="A125" s="128" t="s">
        <v>78</v>
      </c>
      <c r="B125" s="103">
        <v>180</v>
      </c>
      <c r="C125" s="104">
        <f>100*180/200</f>
        <v>90</v>
      </c>
      <c r="D125" s="104">
        <f>5.8*180/200</f>
        <v>5.22</v>
      </c>
      <c r="E125" s="104">
        <f>5*180/200</f>
        <v>4.5</v>
      </c>
      <c r="F125" s="104">
        <f>8*180/200</f>
        <v>7.2</v>
      </c>
      <c r="G125" s="104">
        <f>100*180/200</f>
        <v>90</v>
      </c>
      <c r="H125" s="106" t="s">
        <v>109</v>
      </c>
      <c r="I125" s="106" t="s">
        <v>159</v>
      </c>
    </row>
    <row r="126" spans="1:9">
      <c r="A126" s="128" t="s">
        <v>5</v>
      </c>
      <c r="B126" s="103">
        <v>40</v>
      </c>
      <c r="C126" s="105">
        <v>94.7</v>
      </c>
      <c r="D126" s="105">
        <v>3.1</v>
      </c>
      <c r="E126" s="105">
        <v>0.2</v>
      </c>
      <c r="F126" s="105">
        <v>20.100000000000001</v>
      </c>
      <c r="G126" s="105">
        <v>94.7</v>
      </c>
      <c r="H126" s="106"/>
      <c r="I126" s="106" t="s">
        <v>160</v>
      </c>
    </row>
    <row r="127" spans="1:9">
      <c r="A127" s="128" t="s">
        <v>6</v>
      </c>
      <c r="B127" s="103">
        <v>30</v>
      </c>
      <c r="C127" s="105">
        <v>61.2</v>
      </c>
      <c r="D127" s="105">
        <v>2</v>
      </c>
      <c r="E127" s="105">
        <v>0.3</v>
      </c>
      <c r="F127" s="105">
        <v>12.7</v>
      </c>
      <c r="G127" s="105">
        <v>61.2</v>
      </c>
      <c r="H127" s="106"/>
      <c r="I127" s="106" t="s">
        <v>160</v>
      </c>
    </row>
    <row r="128" spans="1:9" s="110" customFormat="1" ht="14.25">
      <c r="A128" s="129" t="s">
        <v>7</v>
      </c>
      <c r="B128" s="112">
        <f t="shared" ref="B128:G128" si="25">SUM(B122:B127)</f>
        <v>800</v>
      </c>
      <c r="C128" s="108">
        <f t="shared" ref="C128" si="26">SUM(C122:C127)</f>
        <v>932.40000000000009</v>
      </c>
      <c r="D128" s="108">
        <f t="shared" si="25"/>
        <v>36.156999999999996</v>
      </c>
      <c r="E128" s="108">
        <f t="shared" si="25"/>
        <v>26.274999999999999</v>
      </c>
      <c r="F128" s="108">
        <f t="shared" si="25"/>
        <v>112.98800000000001</v>
      </c>
      <c r="G128" s="108">
        <f t="shared" si="25"/>
        <v>932.40000000000009</v>
      </c>
      <c r="H128" s="109"/>
      <c r="I128" s="109"/>
    </row>
    <row r="129" spans="1:9">
      <c r="A129" s="214" t="s">
        <v>164</v>
      </c>
      <c r="B129" s="215"/>
      <c r="C129" s="215"/>
      <c r="D129" s="215"/>
      <c r="E129" s="215"/>
      <c r="F129" s="215"/>
      <c r="G129" s="215"/>
      <c r="H129" s="215"/>
      <c r="I129" s="216"/>
    </row>
    <row r="130" spans="1:9">
      <c r="A130" s="128" t="s">
        <v>190</v>
      </c>
      <c r="B130" s="103">
        <v>180</v>
      </c>
      <c r="C130" s="104">
        <f>652*0.18</f>
        <v>117.36</v>
      </c>
      <c r="D130" s="104">
        <f>15.47*180/1000</f>
        <v>2.7845999999999997</v>
      </c>
      <c r="E130" s="104">
        <f>32.34*0.18</f>
        <v>5.8212000000000002</v>
      </c>
      <c r="F130" s="104">
        <f>71.9*0.18</f>
        <v>12.942</v>
      </c>
      <c r="G130" s="104">
        <f>652*0.18</f>
        <v>117.36</v>
      </c>
      <c r="H130" s="106" t="s">
        <v>128</v>
      </c>
      <c r="I130" s="106" t="s">
        <v>159</v>
      </c>
    </row>
    <row r="131" spans="1:9">
      <c r="A131" s="128" t="s">
        <v>191</v>
      </c>
      <c r="B131" s="103">
        <v>130</v>
      </c>
      <c r="C131" s="104">
        <f>113*100/80</f>
        <v>141.25</v>
      </c>
      <c r="D131" s="104">
        <f>6.97*100/80</f>
        <v>8.7125000000000004</v>
      </c>
      <c r="E131" s="104">
        <f>6.3*100/80</f>
        <v>7.875</v>
      </c>
      <c r="F131" s="104">
        <f>6.44*100/80</f>
        <v>8.0500000000000007</v>
      </c>
      <c r="G131" s="104">
        <f>113*100/80</f>
        <v>141.25</v>
      </c>
      <c r="H131" s="106" t="s">
        <v>192</v>
      </c>
      <c r="I131" s="106" t="s">
        <v>159</v>
      </c>
    </row>
    <row r="132" spans="1:9">
      <c r="A132" s="128" t="s">
        <v>38</v>
      </c>
      <c r="B132" s="103">
        <v>180</v>
      </c>
      <c r="C132" s="74">
        <f>593*0.18</f>
        <v>106.74</v>
      </c>
      <c r="D132" s="74">
        <f>20.39*0.18</f>
        <v>3.6701999999999999</v>
      </c>
      <c r="E132" s="74">
        <f>17.72*0.18</f>
        <v>3.1895999999999995</v>
      </c>
      <c r="F132" s="74">
        <f>87.89*0.18</f>
        <v>15.8202</v>
      </c>
      <c r="G132" s="74">
        <f>593*0.18</f>
        <v>106.74</v>
      </c>
      <c r="H132" s="106" t="s">
        <v>129</v>
      </c>
      <c r="I132" s="106" t="s">
        <v>159</v>
      </c>
    </row>
    <row r="133" spans="1:9">
      <c r="A133" s="128" t="s">
        <v>6</v>
      </c>
      <c r="B133" s="103">
        <v>20</v>
      </c>
      <c r="C133" s="105">
        <v>40.799999999999997</v>
      </c>
      <c r="D133" s="105">
        <v>1.3</v>
      </c>
      <c r="E133" s="105">
        <v>0.2</v>
      </c>
      <c r="F133" s="105">
        <v>8.5</v>
      </c>
      <c r="G133" s="105">
        <v>40.799999999999997</v>
      </c>
      <c r="H133" s="106"/>
      <c r="I133" s="106" t="s">
        <v>160</v>
      </c>
    </row>
    <row r="134" spans="1:9" s="110" customFormat="1" ht="14.25">
      <c r="A134" s="129" t="s">
        <v>7</v>
      </c>
      <c r="B134" s="114">
        <f t="shared" ref="B134:G134" si="27">SUM(B130:B133)</f>
        <v>510</v>
      </c>
      <c r="C134" s="108">
        <f t="shared" ref="C134" si="28">SUM(C130:C133)</f>
        <v>406.15000000000003</v>
      </c>
      <c r="D134" s="108">
        <f t="shared" si="27"/>
        <v>16.467299999999998</v>
      </c>
      <c r="E134" s="108">
        <f t="shared" si="27"/>
        <v>17.085799999999999</v>
      </c>
      <c r="F134" s="108">
        <f t="shared" si="27"/>
        <v>45.312200000000004</v>
      </c>
      <c r="G134" s="108">
        <f t="shared" si="27"/>
        <v>406.15000000000003</v>
      </c>
      <c r="H134" s="109"/>
      <c r="I134" s="109"/>
    </row>
    <row r="135" spans="1:9" s="110" customFormat="1" ht="14.25">
      <c r="A135" s="205" t="s">
        <v>92</v>
      </c>
      <c r="B135" s="206"/>
      <c r="C135" s="115">
        <f>C134+C128+C120</f>
        <v>1956.75</v>
      </c>
      <c r="D135" s="115">
        <f>D134+D128+D120</f>
        <v>68.259633333333326</v>
      </c>
      <c r="E135" s="115">
        <f>E134+E128+E120</f>
        <v>60.491133333333323</v>
      </c>
      <c r="F135" s="115">
        <f>F134+F128+F120</f>
        <v>238.99620000000002</v>
      </c>
      <c r="G135" s="115">
        <f>G134+G128+G120</f>
        <v>1956.75</v>
      </c>
      <c r="H135" s="109"/>
      <c r="I135" s="109"/>
    </row>
    <row r="136" spans="1:9">
      <c r="A136" s="200" t="s">
        <v>120</v>
      </c>
      <c r="B136" s="200"/>
      <c r="C136" s="200"/>
      <c r="D136" s="200"/>
      <c r="E136" s="200"/>
      <c r="F136" s="200"/>
      <c r="G136" s="200"/>
      <c r="H136" s="200"/>
      <c r="I136" s="200"/>
    </row>
    <row r="137" spans="1:9">
      <c r="A137" s="217" t="s">
        <v>193</v>
      </c>
      <c r="B137" s="217"/>
      <c r="C137" s="217"/>
      <c r="D137" s="217"/>
      <c r="E137" s="217"/>
      <c r="F137" s="217"/>
      <c r="G137" s="217"/>
      <c r="H137" s="217"/>
      <c r="I137" s="217"/>
    </row>
    <row r="138" spans="1:9" ht="13.9" customHeight="1">
      <c r="A138" s="208" t="s">
        <v>0</v>
      </c>
      <c r="B138" s="203" t="s">
        <v>1</v>
      </c>
      <c r="C138" s="201" t="s">
        <v>2</v>
      </c>
      <c r="D138" s="218" t="s">
        <v>88</v>
      </c>
      <c r="E138" s="219"/>
      <c r="F138" s="220"/>
      <c r="G138" s="201" t="s">
        <v>2</v>
      </c>
      <c r="H138" s="203" t="s">
        <v>100</v>
      </c>
      <c r="I138" s="203" t="s">
        <v>156</v>
      </c>
    </row>
    <row r="139" spans="1:9" ht="30">
      <c r="A139" s="209"/>
      <c r="B139" s="204"/>
      <c r="C139" s="202"/>
      <c r="D139" s="102" t="s">
        <v>89</v>
      </c>
      <c r="E139" s="102" t="s">
        <v>90</v>
      </c>
      <c r="F139" s="102" t="s">
        <v>91</v>
      </c>
      <c r="G139" s="202"/>
      <c r="H139" s="204"/>
      <c r="I139" s="204"/>
    </row>
    <row r="140" spans="1:9">
      <c r="A140" s="214" t="s">
        <v>157</v>
      </c>
      <c r="B140" s="215"/>
      <c r="C140" s="215"/>
      <c r="D140" s="215"/>
      <c r="E140" s="215"/>
      <c r="F140" s="215"/>
      <c r="G140" s="215"/>
      <c r="H140" s="215"/>
      <c r="I140" s="216"/>
    </row>
    <row r="141" spans="1:9" ht="13.9" customHeight="1">
      <c r="A141" s="128" t="s">
        <v>194</v>
      </c>
      <c r="B141" s="103">
        <v>220</v>
      </c>
      <c r="C141" s="105">
        <f>312*220/210</f>
        <v>326.85714285714283</v>
      </c>
      <c r="D141" s="105">
        <f>8.64*220/210</f>
        <v>9.0514285714285716</v>
      </c>
      <c r="E141" s="105">
        <f>11.06*220/210</f>
        <v>11.586666666666668</v>
      </c>
      <c r="F141" s="105">
        <f>44.32*220/210</f>
        <v>46.430476190476192</v>
      </c>
      <c r="G141" s="105">
        <f>312*220/210</f>
        <v>326.85714285714283</v>
      </c>
      <c r="H141" s="106" t="s">
        <v>195</v>
      </c>
      <c r="I141" s="106" t="s">
        <v>159</v>
      </c>
    </row>
    <row r="142" spans="1:9" ht="13.9" customHeight="1">
      <c r="A142" s="128" t="s">
        <v>196</v>
      </c>
      <c r="B142" s="103">
        <v>80</v>
      </c>
      <c r="C142" s="105">
        <f>205*80/75</f>
        <v>218.66666666666666</v>
      </c>
      <c r="D142" s="105">
        <f>3.2*80/75</f>
        <v>3.4133333333333336</v>
      </c>
      <c r="E142" s="105">
        <f>4*80/75</f>
        <v>4.2666666666666666</v>
      </c>
      <c r="F142" s="105">
        <f>39.3*80/75</f>
        <v>41.92</v>
      </c>
      <c r="G142" s="105">
        <f>205*80/75</f>
        <v>218.66666666666666</v>
      </c>
      <c r="H142" s="106" t="s">
        <v>197</v>
      </c>
      <c r="I142" s="106" t="s">
        <v>159</v>
      </c>
    </row>
    <row r="143" spans="1:9">
      <c r="A143" s="128" t="s">
        <v>43</v>
      </c>
      <c r="B143" s="103">
        <v>200</v>
      </c>
      <c r="C143" s="105">
        <v>62</v>
      </c>
      <c r="D143" s="105">
        <v>0.13</v>
      </c>
      <c r="E143" s="105">
        <v>0.02</v>
      </c>
      <c r="F143" s="105">
        <v>15.2</v>
      </c>
      <c r="G143" s="105">
        <v>62</v>
      </c>
      <c r="H143" s="106" t="s">
        <v>134</v>
      </c>
      <c r="I143" s="106" t="s">
        <v>159</v>
      </c>
    </row>
    <row r="144" spans="1:9">
      <c r="A144" s="128" t="s">
        <v>5</v>
      </c>
      <c r="B144" s="103">
        <v>30</v>
      </c>
      <c r="C144" s="105">
        <v>71</v>
      </c>
      <c r="D144" s="105">
        <v>2.2999999999999998</v>
      </c>
      <c r="E144" s="105">
        <v>0.2</v>
      </c>
      <c r="F144" s="105">
        <v>15.1</v>
      </c>
      <c r="G144" s="105">
        <v>71</v>
      </c>
      <c r="H144" s="106"/>
      <c r="I144" s="106">
        <v>2020</v>
      </c>
    </row>
    <row r="145" spans="1:9">
      <c r="A145" s="128" t="s">
        <v>6</v>
      </c>
      <c r="B145" s="103">
        <v>20</v>
      </c>
      <c r="C145" s="105">
        <v>40.799999999999997</v>
      </c>
      <c r="D145" s="105">
        <v>1.3</v>
      </c>
      <c r="E145" s="105">
        <v>0.2</v>
      </c>
      <c r="F145" s="105">
        <v>8.5</v>
      </c>
      <c r="G145" s="105">
        <v>40.799999999999997</v>
      </c>
      <c r="H145" s="106"/>
      <c r="I145" s="106">
        <v>2020</v>
      </c>
    </row>
    <row r="146" spans="1:9" s="110" customFormat="1" ht="14.25">
      <c r="A146" s="129" t="s">
        <v>7</v>
      </c>
      <c r="B146" s="114">
        <f>SUM(B141:B145)</f>
        <v>550</v>
      </c>
      <c r="C146" s="108">
        <f t="shared" ref="C146" si="29">SUM(C141:C145)</f>
        <v>719.32380952380947</v>
      </c>
      <c r="D146" s="108">
        <f t="shared" ref="D146:G146" si="30">SUM(D141:D145)</f>
        <v>16.194761904761908</v>
      </c>
      <c r="E146" s="108">
        <f t="shared" si="30"/>
        <v>16.273333333333333</v>
      </c>
      <c r="F146" s="108">
        <f t="shared" si="30"/>
        <v>127.1504761904762</v>
      </c>
      <c r="G146" s="108">
        <f t="shared" si="30"/>
        <v>719.32380952380947</v>
      </c>
      <c r="H146" s="109"/>
      <c r="I146" s="109"/>
    </row>
    <row r="147" spans="1:9">
      <c r="A147" s="214" t="s">
        <v>161</v>
      </c>
      <c r="B147" s="215"/>
      <c r="C147" s="215"/>
      <c r="D147" s="215"/>
      <c r="E147" s="215"/>
      <c r="F147" s="215"/>
      <c r="G147" s="215"/>
      <c r="H147" s="215"/>
      <c r="I147" s="216"/>
    </row>
    <row r="148" spans="1:9" ht="13.9" customHeight="1">
      <c r="A148" s="128" t="s">
        <v>56</v>
      </c>
      <c r="B148" s="111">
        <v>100</v>
      </c>
      <c r="C148" s="105">
        <f>901*0.1</f>
        <v>90.100000000000009</v>
      </c>
      <c r="D148" s="105">
        <f>1.22*0.1</f>
        <v>0.122</v>
      </c>
      <c r="E148" s="105">
        <v>4.0999999999999996</v>
      </c>
      <c r="F148" s="105">
        <f>111.65*0.1</f>
        <v>11.165000000000001</v>
      </c>
      <c r="G148" s="105">
        <f>901*0.1</f>
        <v>90.100000000000009</v>
      </c>
      <c r="H148" s="106" t="s">
        <v>146</v>
      </c>
      <c r="I148" s="106" t="s">
        <v>159</v>
      </c>
    </row>
    <row r="149" spans="1:9">
      <c r="A149" s="128" t="s">
        <v>198</v>
      </c>
      <c r="B149" s="111">
        <v>250</v>
      </c>
      <c r="C149" s="105">
        <v>112.4</v>
      </c>
      <c r="D149" s="105">
        <f>22.39*0.25</f>
        <v>5.5975000000000001</v>
      </c>
      <c r="E149" s="105">
        <f>19.2*0.25</f>
        <v>4.8</v>
      </c>
      <c r="F149" s="105">
        <f>40.7*0.25</f>
        <v>10.175000000000001</v>
      </c>
      <c r="G149" s="105">
        <v>112.4</v>
      </c>
      <c r="H149" s="106" t="s">
        <v>175</v>
      </c>
      <c r="I149" s="106" t="s">
        <v>159</v>
      </c>
    </row>
    <row r="150" spans="1:9">
      <c r="A150" s="128" t="s">
        <v>33</v>
      </c>
      <c r="B150" s="111">
        <v>200</v>
      </c>
      <c r="C150" s="105">
        <f>208*200/175</f>
        <v>237.71428571428572</v>
      </c>
      <c r="D150" s="105">
        <v>12.64</v>
      </c>
      <c r="E150" s="105">
        <v>10.17</v>
      </c>
      <c r="F150" s="105">
        <f>15.2*200/175</f>
        <v>17.37142857142857</v>
      </c>
      <c r="G150" s="105">
        <f>208*200/175</f>
        <v>237.71428571428572</v>
      </c>
      <c r="H150" s="106" t="s">
        <v>122</v>
      </c>
      <c r="I150" s="106">
        <v>2017</v>
      </c>
    </row>
    <row r="151" spans="1:9">
      <c r="A151" s="128" t="s">
        <v>49</v>
      </c>
      <c r="B151" s="111">
        <v>200</v>
      </c>
      <c r="C151" s="105">
        <f>564*0.2</f>
        <v>112.80000000000001</v>
      </c>
      <c r="D151" s="105">
        <f>3.31*0.2</f>
        <v>0.66200000000000003</v>
      </c>
      <c r="E151" s="105">
        <f>0.45*0.2</f>
        <v>9.0000000000000011E-2</v>
      </c>
      <c r="F151" s="105">
        <v>32.014000000000003</v>
      </c>
      <c r="G151" s="105">
        <f>564*0.2</f>
        <v>112.80000000000001</v>
      </c>
      <c r="H151" s="106" t="s">
        <v>139</v>
      </c>
      <c r="I151" s="106" t="s">
        <v>159</v>
      </c>
    </row>
    <row r="152" spans="1:9">
      <c r="A152" s="128" t="s">
        <v>5</v>
      </c>
      <c r="B152" s="111">
        <v>40</v>
      </c>
      <c r="C152" s="105">
        <f>165.8*40/70</f>
        <v>94.742857142857147</v>
      </c>
      <c r="D152" s="105">
        <f>5.3*40/70</f>
        <v>3.0285714285714285</v>
      </c>
      <c r="E152" s="105">
        <f>0.4*40/70</f>
        <v>0.22857142857142856</v>
      </c>
      <c r="F152" s="105">
        <f>35.1*40/70</f>
        <v>20.057142857142857</v>
      </c>
      <c r="G152" s="105">
        <f>165.8*40/70</f>
        <v>94.742857142857147</v>
      </c>
      <c r="H152" s="106"/>
      <c r="I152" s="106">
        <v>2020</v>
      </c>
    </row>
    <row r="153" spans="1:9">
      <c r="A153" s="128" t="s">
        <v>6</v>
      </c>
      <c r="B153" s="111">
        <v>40</v>
      </c>
      <c r="C153" s="105">
        <v>81.599999999999994</v>
      </c>
      <c r="D153" s="105">
        <v>2.6</v>
      </c>
      <c r="E153" s="105">
        <v>0.4</v>
      </c>
      <c r="F153" s="105">
        <v>17</v>
      </c>
      <c r="G153" s="105">
        <v>81.599999999999994</v>
      </c>
      <c r="H153" s="106"/>
      <c r="I153" s="106">
        <v>2020</v>
      </c>
    </row>
    <row r="154" spans="1:9" s="110" customFormat="1" ht="14.25">
      <c r="A154" s="129" t="s">
        <v>7</v>
      </c>
      <c r="B154" s="112">
        <f t="shared" ref="B154:G154" si="31">SUM(B148:B153)</f>
        <v>830</v>
      </c>
      <c r="C154" s="108">
        <f t="shared" ref="C154" si="32">SUM(C148:C153)</f>
        <v>729.35714285714289</v>
      </c>
      <c r="D154" s="108">
        <f t="shared" si="31"/>
        <v>24.65007142857143</v>
      </c>
      <c r="E154" s="108">
        <f t="shared" si="31"/>
        <v>19.788571428571426</v>
      </c>
      <c r="F154" s="108">
        <f t="shared" si="31"/>
        <v>107.78257142857143</v>
      </c>
      <c r="G154" s="108">
        <f t="shared" si="31"/>
        <v>729.35714285714289</v>
      </c>
      <c r="H154" s="109"/>
      <c r="I154" s="109"/>
    </row>
    <row r="155" spans="1:9" s="110" customFormat="1" ht="14.25">
      <c r="A155" s="205" t="s">
        <v>92</v>
      </c>
      <c r="B155" s="206"/>
      <c r="C155" s="115">
        <f>C154+C146</f>
        <v>1448.6809523809525</v>
      </c>
      <c r="D155" s="115">
        <f>D154+D146</f>
        <v>40.844833333333341</v>
      </c>
      <c r="E155" s="115">
        <f>E154+E146</f>
        <v>36.061904761904756</v>
      </c>
      <c r="F155" s="115">
        <f>F154+F146</f>
        <v>234.93304761904761</v>
      </c>
      <c r="G155" s="115">
        <f>G154+G146</f>
        <v>1448.6809523809525</v>
      </c>
      <c r="H155" s="109"/>
      <c r="I155" s="109"/>
    </row>
    <row r="156" spans="1:9">
      <c r="A156" s="200" t="s">
        <v>199</v>
      </c>
      <c r="B156" s="200"/>
      <c r="C156" s="200"/>
      <c r="D156" s="200"/>
      <c r="E156" s="200"/>
      <c r="F156" s="200"/>
      <c r="G156" s="200"/>
      <c r="H156" s="200"/>
      <c r="I156" s="200"/>
    </row>
    <row r="157" spans="1:9">
      <c r="A157" s="217" t="s">
        <v>200</v>
      </c>
      <c r="B157" s="217"/>
      <c r="C157" s="217"/>
      <c r="D157" s="217"/>
      <c r="E157" s="217"/>
      <c r="F157" s="217"/>
      <c r="G157" s="217"/>
      <c r="H157" s="217"/>
      <c r="I157" s="217"/>
    </row>
    <row r="158" spans="1:9" ht="13.9" customHeight="1">
      <c r="A158" s="208" t="s">
        <v>0</v>
      </c>
      <c r="B158" s="203" t="s">
        <v>1</v>
      </c>
      <c r="C158" s="201" t="s">
        <v>2</v>
      </c>
      <c r="D158" s="218" t="s">
        <v>88</v>
      </c>
      <c r="E158" s="219"/>
      <c r="F158" s="220"/>
      <c r="G158" s="201" t="s">
        <v>2</v>
      </c>
      <c r="H158" s="203" t="s">
        <v>100</v>
      </c>
      <c r="I158" s="203" t="s">
        <v>156</v>
      </c>
    </row>
    <row r="159" spans="1:9" ht="30">
      <c r="A159" s="209"/>
      <c r="B159" s="204"/>
      <c r="C159" s="202"/>
      <c r="D159" s="102" t="s">
        <v>89</v>
      </c>
      <c r="E159" s="102" t="s">
        <v>90</v>
      </c>
      <c r="F159" s="102" t="s">
        <v>91</v>
      </c>
      <c r="G159" s="202"/>
      <c r="H159" s="204"/>
      <c r="I159" s="204"/>
    </row>
    <row r="160" spans="1:9">
      <c r="A160" s="214" t="s">
        <v>157</v>
      </c>
      <c r="B160" s="215"/>
      <c r="C160" s="215"/>
      <c r="D160" s="215"/>
      <c r="E160" s="215"/>
      <c r="F160" s="215"/>
      <c r="G160" s="215"/>
      <c r="H160" s="215"/>
      <c r="I160" s="216"/>
    </row>
    <row r="161" spans="1:9" ht="13.9" customHeight="1">
      <c r="A161" s="128" t="s">
        <v>201</v>
      </c>
      <c r="B161" s="103">
        <v>100</v>
      </c>
      <c r="C161" s="104">
        <f>10*0.1</f>
        <v>1</v>
      </c>
      <c r="D161" s="104">
        <f>0.56*0.1</f>
        <v>5.6000000000000008E-2</v>
      </c>
      <c r="E161" s="104">
        <f>0.05*0.1</f>
        <v>5.000000000000001E-3</v>
      </c>
      <c r="F161" s="104">
        <f>1.75*0.1</f>
        <v>0.17500000000000002</v>
      </c>
      <c r="G161" s="104">
        <f>10*0.1</f>
        <v>1</v>
      </c>
      <c r="H161" s="106" t="s">
        <v>117</v>
      </c>
      <c r="I161" s="106" t="s">
        <v>159</v>
      </c>
    </row>
    <row r="162" spans="1:9">
      <c r="A162" s="128" t="s">
        <v>39</v>
      </c>
      <c r="B162" s="103">
        <v>180</v>
      </c>
      <c r="C162" s="104">
        <f>915*0.18</f>
        <v>164.7</v>
      </c>
      <c r="D162" s="104">
        <f>20.43*0.18</f>
        <v>3.6774</v>
      </c>
      <c r="E162" s="104">
        <f>32.01*0.18</f>
        <v>5.7617999999999991</v>
      </c>
      <c r="F162" s="104">
        <f>136.26*0.18</f>
        <v>24.526799999999998</v>
      </c>
      <c r="G162" s="104">
        <f>915*0.18</f>
        <v>164.7</v>
      </c>
      <c r="H162" s="106" t="s">
        <v>202</v>
      </c>
      <c r="I162" s="106">
        <v>2017</v>
      </c>
    </row>
    <row r="163" spans="1:9" ht="13.9" customHeight="1">
      <c r="A163" s="128" t="s">
        <v>93</v>
      </c>
      <c r="B163" s="103">
        <v>100</v>
      </c>
      <c r="C163" s="74">
        <f>143.1*100/90</f>
        <v>159</v>
      </c>
      <c r="D163" s="74">
        <f>11.39*100/90</f>
        <v>12.655555555555555</v>
      </c>
      <c r="E163" s="74">
        <f>7.88*100/90</f>
        <v>8.7555555555555564</v>
      </c>
      <c r="F163" s="74">
        <f>2.86*100/90</f>
        <v>3.1777777777777776</v>
      </c>
      <c r="G163" s="74">
        <f>143.1*100/90</f>
        <v>159</v>
      </c>
      <c r="H163" s="2" t="s">
        <v>124</v>
      </c>
      <c r="I163" s="106">
        <v>2023</v>
      </c>
    </row>
    <row r="164" spans="1:9">
      <c r="A164" s="128" t="s">
        <v>59</v>
      </c>
      <c r="B164" s="103">
        <v>180</v>
      </c>
      <c r="C164" s="74">
        <f>146.6*180/200</f>
        <v>131.94</v>
      </c>
      <c r="D164" s="74">
        <f>0.3*180/200</f>
        <v>0.27</v>
      </c>
      <c r="E164" s="74">
        <v>0</v>
      </c>
      <c r="F164" s="74">
        <f>36.2*180/200</f>
        <v>32.580000000000005</v>
      </c>
      <c r="G164" s="74">
        <f>146.6*180/200</f>
        <v>131.94</v>
      </c>
      <c r="H164" s="2" t="s">
        <v>131</v>
      </c>
      <c r="I164" s="106" t="s">
        <v>159</v>
      </c>
    </row>
    <row r="165" spans="1:9">
      <c r="A165" s="128" t="s">
        <v>5</v>
      </c>
      <c r="B165" s="103">
        <v>40</v>
      </c>
      <c r="C165" s="105">
        <v>94.7</v>
      </c>
      <c r="D165" s="105">
        <v>3.1</v>
      </c>
      <c r="E165" s="105">
        <v>0.2</v>
      </c>
      <c r="F165" s="105">
        <v>20.100000000000001</v>
      </c>
      <c r="G165" s="105">
        <v>94.7</v>
      </c>
      <c r="H165" s="106"/>
      <c r="I165" s="106" t="s">
        <v>160</v>
      </c>
    </row>
    <row r="166" spans="1:9">
      <c r="A166" s="128" t="s">
        <v>6</v>
      </c>
      <c r="B166" s="103">
        <v>20</v>
      </c>
      <c r="C166" s="105">
        <v>40.799999999999997</v>
      </c>
      <c r="D166" s="105">
        <v>1.3</v>
      </c>
      <c r="E166" s="105">
        <v>0.2</v>
      </c>
      <c r="F166" s="105">
        <v>8.5</v>
      </c>
      <c r="G166" s="105">
        <v>40.799999999999997</v>
      </c>
      <c r="H166" s="106"/>
      <c r="I166" s="106" t="s">
        <v>160</v>
      </c>
    </row>
    <row r="167" spans="1:9" s="110" customFormat="1" ht="14.25">
      <c r="A167" s="129" t="s">
        <v>7</v>
      </c>
      <c r="B167" s="114">
        <f>SUM(B161:B166)</f>
        <v>620</v>
      </c>
      <c r="C167" s="108">
        <f t="shared" ref="C167" si="33">SUM(C161:C166)</f>
        <v>592.14</v>
      </c>
      <c r="D167" s="108">
        <f t="shared" ref="D167:G167" si="34">SUM(D161:D166)</f>
        <v>21.058955555555556</v>
      </c>
      <c r="E167" s="108">
        <f t="shared" si="34"/>
        <v>14.922355555555555</v>
      </c>
      <c r="F167" s="108">
        <f t="shared" si="34"/>
        <v>89.059577777777776</v>
      </c>
      <c r="G167" s="108">
        <f t="shared" si="34"/>
        <v>592.14</v>
      </c>
      <c r="H167" s="109"/>
      <c r="I167" s="109"/>
    </row>
    <row r="168" spans="1:9">
      <c r="A168" s="214" t="s">
        <v>161</v>
      </c>
      <c r="B168" s="215"/>
      <c r="C168" s="215"/>
      <c r="D168" s="215"/>
      <c r="E168" s="215"/>
      <c r="F168" s="215"/>
      <c r="G168" s="215"/>
      <c r="H168" s="215"/>
      <c r="I168" s="216"/>
    </row>
    <row r="169" spans="1:9">
      <c r="A169" s="128" t="s">
        <v>203</v>
      </c>
      <c r="B169" s="103">
        <v>100</v>
      </c>
      <c r="C169" s="104">
        <v>54</v>
      </c>
      <c r="D169" s="104">
        <v>0.7</v>
      </c>
      <c r="E169" s="104">
        <v>3.1</v>
      </c>
      <c r="F169" s="104">
        <v>5.7</v>
      </c>
      <c r="G169" s="104">
        <v>54</v>
      </c>
      <c r="H169" s="106" t="s">
        <v>132</v>
      </c>
      <c r="I169" s="106" t="s">
        <v>204</v>
      </c>
    </row>
    <row r="170" spans="1:9">
      <c r="A170" s="128" t="s">
        <v>205</v>
      </c>
      <c r="B170" s="103">
        <v>250</v>
      </c>
      <c r="C170" s="104">
        <f>381*0.25</f>
        <v>95.25</v>
      </c>
      <c r="D170" s="104">
        <f>6.35*0.25</f>
        <v>1.5874999999999999</v>
      </c>
      <c r="E170" s="104">
        <f>19.35*0.25</f>
        <v>4.8375000000000004</v>
      </c>
      <c r="F170" s="104">
        <f>36.56*0.25</f>
        <v>9.14</v>
      </c>
      <c r="G170" s="104">
        <f>381*0.25</f>
        <v>95.25</v>
      </c>
      <c r="H170" s="106" t="s">
        <v>206</v>
      </c>
      <c r="I170" s="106" t="s">
        <v>159</v>
      </c>
    </row>
    <row r="171" spans="1:9">
      <c r="A171" s="128" t="s">
        <v>40</v>
      </c>
      <c r="B171" s="103">
        <v>180</v>
      </c>
      <c r="C171" s="104">
        <f>209*180/125</f>
        <v>300.95999999999998</v>
      </c>
      <c r="D171" s="104">
        <f>8.46*180/125</f>
        <v>12.182400000000001</v>
      </c>
      <c r="E171" s="104">
        <f>9.95*180/125</f>
        <v>14.327999999999998</v>
      </c>
      <c r="F171" s="104">
        <f>21.32*180/125</f>
        <v>30.700800000000001</v>
      </c>
      <c r="G171" s="104">
        <f>209*180/125</f>
        <v>300.95999999999998</v>
      </c>
      <c r="H171" s="106" t="s">
        <v>207</v>
      </c>
      <c r="I171" s="106" t="s">
        <v>159</v>
      </c>
    </row>
    <row r="172" spans="1:9">
      <c r="A172" s="128" t="s">
        <v>82</v>
      </c>
      <c r="B172" s="103">
        <v>110</v>
      </c>
      <c r="C172" s="74">
        <f>221*110/100</f>
        <v>243.1</v>
      </c>
      <c r="D172" s="74">
        <f>10.64*110/100</f>
        <v>11.704000000000001</v>
      </c>
      <c r="E172" s="74">
        <f>22.19*110/100</f>
        <v>24.409000000000002</v>
      </c>
      <c r="F172" s="74">
        <v>4.18</v>
      </c>
      <c r="G172" s="74">
        <f>221*110/100</f>
        <v>243.1</v>
      </c>
      <c r="H172" s="2">
        <v>260</v>
      </c>
      <c r="I172" s="106" t="s">
        <v>159</v>
      </c>
    </row>
    <row r="173" spans="1:9">
      <c r="A173" s="128" t="s">
        <v>38</v>
      </c>
      <c r="B173" s="106">
        <v>180</v>
      </c>
      <c r="C173" s="74">
        <f>593*0.18</f>
        <v>106.74</v>
      </c>
      <c r="D173" s="74">
        <f>20.39*0.18</f>
        <v>3.6701999999999999</v>
      </c>
      <c r="E173" s="74">
        <f>17.72*0.18</f>
        <v>3.1895999999999995</v>
      </c>
      <c r="F173" s="74">
        <f>87.89*0.18</f>
        <v>15.8202</v>
      </c>
      <c r="G173" s="74">
        <f>593*0.18</f>
        <v>106.74</v>
      </c>
      <c r="H173" s="2" t="s">
        <v>129</v>
      </c>
      <c r="I173" s="106">
        <v>2017</v>
      </c>
    </row>
    <row r="174" spans="1:9">
      <c r="A174" s="128" t="s">
        <v>72</v>
      </c>
      <c r="B174" s="103">
        <v>100</v>
      </c>
      <c r="C174" s="104">
        <v>56.4</v>
      </c>
      <c r="D174" s="104">
        <v>0.5</v>
      </c>
      <c r="E174" s="104">
        <v>0.5</v>
      </c>
      <c r="F174" s="104">
        <v>11.8</v>
      </c>
      <c r="G174" s="104">
        <v>56.4</v>
      </c>
      <c r="H174" s="106" t="s">
        <v>103</v>
      </c>
      <c r="I174" s="106" t="s">
        <v>159</v>
      </c>
    </row>
    <row r="175" spans="1:9">
      <c r="A175" s="128" t="s">
        <v>5</v>
      </c>
      <c r="B175" s="103">
        <v>30</v>
      </c>
      <c r="C175" s="105">
        <v>71</v>
      </c>
      <c r="D175" s="105">
        <v>2.2999999999999998</v>
      </c>
      <c r="E175" s="105">
        <v>0.2</v>
      </c>
      <c r="F175" s="105">
        <v>15.1</v>
      </c>
      <c r="G175" s="105">
        <v>71</v>
      </c>
      <c r="H175" s="106"/>
      <c r="I175" s="106">
        <v>2020</v>
      </c>
    </row>
    <row r="176" spans="1:9">
      <c r="A176" s="128" t="s">
        <v>6</v>
      </c>
      <c r="B176" s="103">
        <v>20</v>
      </c>
      <c r="C176" s="105">
        <v>40.799999999999997</v>
      </c>
      <c r="D176" s="105">
        <v>1.3</v>
      </c>
      <c r="E176" s="105">
        <v>0.2</v>
      </c>
      <c r="F176" s="105">
        <v>8.5</v>
      </c>
      <c r="G176" s="105">
        <v>40.799999999999997</v>
      </c>
      <c r="H176" s="106"/>
      <c r="I176" s="106" t="s">
        <v>160</v>
      </c>
    </row>
    <row r="177" spans="1:9" s="29" customFormat="1">
      <c r="A177" s="130" t="s">
        <v>25</v>
      </c>
      <c r="B177" s="117">
        <v>200</v>
      </c>
      <c r="C177" s="104">
        <v>52</v>
      </c>
      <c r="D177" s="104">
        <v>2.8</v>
      </c>
      <c r="E177" s="104">
        <v>2.5</v>
      </c>
      <c r="F177" s="104">
        <v>4.7</v>
      </c>
      <c r="G177" s="104">
        <v>52</v>
      </c>
      <c r="H177" s="86" t="s">
        <v>114</v>
      </c>
      <c r="I177" s="86" t="s">
        <v>159</v>
      </c>
    </row>
    <row r="178" spans="1:9" s="110" customFormat="1" ht="14.25">
      <c r="A178" s="129" t="s">
        <v>7</v>
      </c>
      <c r="B178" s="112">
        <f>SUM(B169:B177)</f>
        <v>1170</v>
      </c>
      <c r="C178" s="108">
        <f t="shared" ref="C178" si="35">SUM(C169:C177)</f>
        <v>1020.2499999999999</v>
      </c>
      <c r="D178" s="108">
        <f t="shared" ref="D178:G178" si="36">SUM(D169:D177)</f>
        <v>36.744099999999996</v>
      </c>
      <c r="E178" s="108">
        <f t="shared" si="36"/>
        <v>53.264099999999999</v>
      </c>
      <c r="F178" s="108">
        <f t="shared" si="36"/>
        <v>105.64099999999999</v>
      </c>
      <c r="G178" s="108">
        <f t="shared" si="36"/>
        <v>1020.2499999999999</v>
      </c>
      <c r="H178" s="109"/>
      <c r="I178" s="109"/>
    </row>
    <row r="179" spans="1:9">
      <c r="A179" s="214" t="s">
        <v>164</v>
      </c>
      <c r="B179" s="215"/>
      <c r="C179" s="215"/>
      <c r="D179" s="215"/>
      <c r="E179" s="215"/>
      <c r="F179" s="215"/>
      <c r="G179" s="215"/>
      <c r="H179" s="215"/>
      <c r="I179" s="216"/>
    </row>
    <row r="180" spans="1:9">
      <c r="A180" s="128" t="s">
        <v>42</v>
      </c>
      <c r="B180" s="103">
        <v>100</v>
      </c>
      <c r="C180" s="104">
        <f>187*100/80</f>
        <v>233.75</v>
      </c>
      <c r="D180" s="104">
        <f>8.05*100/80</f>
        <v>10.062500000000002</v>
      </c>
      <c r="E180" s="104">
        <f>6.13*100/80</f>
        <v>7.6624999999999996</v>
      </c>
      <c r="F180" s="104">
        <f>22.8*100/80</f>
        <v>28.5</v>
      </c>
      <c r="G180" s="104">
        <f>187*100/80</f>
        <v>233.75</v>
      </c>
      <c r="H180" s="106" t="s">
        <v>120</v>
      </c>
      <c r="I180" s="106">
        <v>2017</v>
      </c>
    </row>
    <row r="181" spans="1:9">
      <c r="A181" s="128" t="s">
        <v>44</v>
      </c>
      <c r="B181" s="103">
        <v>50</v>
      </c>
      <c r="C181" s="105">
        <f>83.4*50/20</f>
        <v>208.5</v>
      </c>
      <c r="D181" s="105">
        <f>1.5*50/20</f>
        <v>3.75</v>
      </c>
      <c r="E181" s="105">
        <f>2*50/20</f>
        <v>5</v>
      </c>
      <c r="F181" s="105">
        <f>14.9*50/20</f>
        <v>37.25</v>
      </c>
      <c r="G181" s="105">
        <f>83.4*50/20</f>
        <v>208.5</v>
      </c>
      <c r="H181" s="106"/>
      <c r="I181" s="106"/>
    </row>
    <row r="182" spans="1:9">
      <c r="A182" s="128" t="s">
        <v>43</v>
      </c>
      <c r="B182" s="103">
        <v>200</v>
      </c>
      <c r="C182" s="104">
        <v>62</v>
      </c>
      <c r="D182" s="104">
        <v>0.13</v>
      </c>
      <c r="E182" s="104">
        <v>0.02</v>
      </c>
      <c r="F182" s="104">
        <v>15.2</v>
      </c>
      <c r="G182" s="104">
        <v>62</v>
      </c>
      <c r="H182" s="106" t="s">
        <v>134</v>
      </c>
      <c r="I182" s="106">
        <v>2017</v>
      </c>
    </row>
    <row r="183" spans="1:9" s="110" customFormat="1" ht="14.25">
      <c r="A183" s="129" t="s">
        <v>7</v>
      </c>
      <c r="B183" s="114">
        <f>SUM(B180:B182)</f>
        <v>350</v>
      </c>
      <c r="C183" s="108">
        <f t="shared" ref="C183" si="37">SUM(C180:C182)</f>
        <v>504.25</v>
      </c>
      <c r="D183" s="108">
        <f t="shared" ref="D183:G183" si="38">SUM(D180:D182)</f>
        <v>13.942500000000003</v>
      </c>
      <c r="E183" s="108">
        <f t="shared" si="38"/>
        <v>12.682499999999999</v>
      </c>
      <c r="F183" s="108">
        <f t="shared" si="38"/>
        <v>80.95</v>
      </c>
      <c r="G183" s="108">
        <f t="shared" si="38"/>
        <v>504.25</v>
      </c>
      <c r="H183" s="109"/>
      <c r="I183" s="109"/>
    </row>
    <row r="184" spans="1:9" s="110" customFormat="1" ht="14.25">
      <c r="A184" s="205" t="s">
        <v>92</v>
      </c>
      <c r="B184" s="206"/>
      <c r="C184" s="115">
        <f>C183+C178+C167</f>
        <v>2116.64</v>
      </c>
      <c r="D184" s="115">
        <f>D183+D178+D167</f>
        <v>71.745555555555555</v>
      </c>
      <c r="E184" s="115">
        <f>E183+E178+E167</f>
        <v>80.868955555555559</v>
      </c>
      <c r="F184" s="115">
        <f>F183+F178+F167</f>
        <v>275.65057777777781</v>
      </c>
      <c r="G184" s="115">
        <f>G183+G178+G167</f>
        <v>2116.64</v>
      </c>
      <c r="H184" s="109"/>
      <c r="I184" s="109"/>
    </row>
    <row r="185" spans="1:9">
      <c r="A185" s="200" t="s">
        <v>208</v>
      </c>
      <c r="B185" s="200"/>
      <c r="C185" s="200"/>
      <c r="D185" s="200"/>
      <c r="E185" s="200"/>
      <c r="F185" s="200"/>
      <c r="G185" s="200"/>
      <c r="H185" s="200"/>
      <c r="I185" s="200"/>
    </row>
    <row r="186" spans="1:9">
      <c r="A186" s="217" t="s">
        <v>209</v>
      </c>
      <c r="B186" s="217"/>
      <c r="C186" s="217"/>
      <c r="D186" s="217"/>
      <c r="E186" s="217"/>
      <c r="F186" s="217"/>
      <c r="G186" s="217"/>
      <c r="H186" s="217"/>
      <c r="I186" s="217"/>
    </row>
    <row r="187" spans="1:9" ht="13.9" customHeight="1">
      <c r="A187" s="208" t="s">
        <v>0</v>
      </c>
      <c r="B187" s="203" t="s">
        <v>1</v>
      </c>
      <c r="C187" s="201" t="s">
        <v>2</v>
      </c>
      <c r="D187" s="218" t="s">
        <v>88</v>
      </c>
      <c r="E187" s="219"/>
      <c r="F187" s="220"/>
      <c r="G187" s="201" t="s">
        <v>2</v>
      </c>
      <c r="H187" s="203" t="s">
        <v>100</v>
      </c>
      <c r="I187" s="203" t="s">
        <v>156</v>
      </c>
    </row>
    <row r="188" spans="1:9" ht="30">
      <c r="A188" s="209"/>
      <c r="B188" s="204"/>
      <c r="C188" s="202"/>
      <c r="D188" s="102" t="s">
        <v>89</v>
      </c>
      <c r="E188" s="102" t="s">
        <v>90</v>
      </c>
      <c r="F188" s="102" t="s">
        <v>91</v>
      </c>
      <c r="G188" s="202"/>
      <c r="H188" s="204"/>
      <c r="I188" s="204"/>
    </row>
    <row r="189" spans="1:9">
      <c r="A189" s="214" t="s">
        <v>157</v>
      </c>
      <c r="B189" s="215"/>
      <c r="C189" s="215"/>
      <c r="D189" s="215"/>
      <c r="E189" s="215"/>
      <c r="F189" s="215"/>
      <c r="G189" s="215"/>
      <c r="H189" s="215"/>
      <c r="I189" s="216"/>
    </row>
    <row r="190" spans="1:9" ht="13.9" customHeight="1">
      <c r="A190" s="128" t="s">
        <v>210</v>
      </c>
      <c r="B190" s="103">
        <v>200</v>
      </c>
      <c r="C190" s="104">
        <f>144*200/80</f>
        <v>360</v>
      </c>
      <c r="D190" s="104">
        <f>8.82*200/80</f>
        <v>22.05</v>
      </c>
      <c r="E190" s="104">
        <f>6.07*200/80</f>
        <v>15.175000000000001</v>
      </c>
      <c r="F190" s="104">
        <f>13.61*200/80</f>
        <v>34.024999999999999</v>
      </c>
      <c r="G190" s="104">
        <f>144*200/80</f>
        <v>360</v>
      </c>
      <c r="H190" s="106" t="s">
        <v>135</v>
      </c>
      <c r="I190" s="106" t="s">
        <v>159</v>
      </c>
    </row>
    <row r="191" spans="1:9">
      <c r="A191" s="128" t="s">
        <v>83</v>
      </c>
      <c r="B191" s="103">
        <v>100</v>
      </c>
      <c r="C191" s="74">
        <v>302.8</v>
      </c>
      <c r="D191" s="74">
        <v>7.19</v>
      </c>
      <c r="E191" s="74">
        <v>5.99</v>
      </c>
      <c r="F191" s="74">
        <v>54.34</v>
      </c>
      <c r="G191" s="74">
        <v>302.8</v>
      </c>
      <c r="H191" s="2" t="s">
        <v>133</v>
      </c>
      <c r="I191" s="106" t="s">
        <v>159</v>
      </c>
    </row>
    <row r="192" spans="1:9" ht="13.9" customHeight="1">
      <c r="A192" s="128" t="s">
        <v>78</v>
      </c>
      <c r="B192" s="103">
        <v>200</v>
      </c>
      <c r="C192" s="74">
        <f>100*180/200</f>
        <v>90</v>
      </c>
      <c r="D192" s="74">
        <f>5.8*180/200</f>
        <v>5.22</v>
      </c>
      <c r="E192" s="74">
        <f>5*180/200</f>
        <v>4.5</v>
      </c>
      <c r="F192" s="74">
        <f>8*180/200</f>
        <v>7.2</v>
      </c>
      <c r="G192" s="74">
        <f>100*180/200</f>
        <v>90</v>
      </c>
      <c r="H192" s="106" t="s">
        <v>109</v>
      </c>
      <c r="I192" s="106" t="s">
        <v>176</v>
      </c>
    </row>
    <row r="193" spans="1:9">
      <c r="A193" s="128" t="s">
        <v>5</v>
      </c>
      <c r="B193" s="103">
        <v>30</v>
      </c>
      <c r="C193" s="105">
        <v>71</v>
      </c>
      <c r="D193" s="105">
        <v>2.2999999999999998</v>
      </c>
      <c r="E193" s="105">
        <v>0.2</v>
      </c>
      <c r="F193" s="105">
        <v>15.1</v>
      </c>
      <c r="G193" s="105">
        <v>71</v>
      </c>
      <c r="H193" s="106"/>
      <c r="I193" s="106" t="s">
        <v>160</v>
      </c>
    </row>
    <row r="194" spans="1:9">
      <c r="A194" s="128" t="s">
        <v>6</v>
      </c>
      <c r="B194" s="103">
        <v>20</v>
      </c>
      <c r="C194" s="105">
        <v>40.799999999999997</v>
      </c>
      <c r="D194" s="105">
        <v>1.3</v>
      </c>
      <c r="E194" s="105">
        <v>0.2</v>
      </c>
      <c r="F194" s="105">
        <v>8.5</v>
      </c>
      <c r="G194" s="105">
        <v>40.799999999999997</v>
      </c>
      <c r="H194" s="106"/>
      <c r="I194" s="106" t="s">
        <v>160</v>
      </c>
    </row>
    <row r="195" spans="1:9" s="110" customFormat="1" ht="14.25">
      <c r="A195" s="129" t="s">
        <v>7</v>
      </c>
      <c r="B195" s="114">
        <f t="shared" ref="B195:G195" si="39">SUM(B190:B194)</f>
        <v>550</v>
      </c>
      <c r="C195" s="108">
        <f t="shared" ref="C195" si="40">SUM(C190:C194)</f>
        <v>864.59999999999991</v>
      </c>
      <c r="D195" s="108">
        <f t="shared" si="39"/>
        <v>38.059999999999995</v>
      </c>
      <c r="E195" s="108">
        <f t="shared" si="39"/>
        <v>26.064999999999998</v>
      </c>
      <c r="F195" s="108">
        <f t="shared" si="39"/>
        <v>119.16500000000001</v>
      </c>
      <c r="G195" s="108">
        <f t="shared" si="39"/>
        <v>864.59999999999991</v>
      </c>
      <c r="H195" s="109"/>
      <c r="I195" s="109"/>
    </row>
    <row r="196" spans="1:9">
      <c r="A196" s="214" t="s">
        <v>161</v>
      </c>
      <c r="B196" s="215"/>
      <c r="C196" s="215"/>
      <c r="D196" s="215"/>
      <c r="E196" s="215"/>
      <c r="F196" s="215"/>
      <c r="G196" s="215"/>
      <c r="H196" s="215"/>
      <c r="I196" s="216"/>
    </row>
    <row r="197" spans="1:9" ht="13.9" customHeight="1">
      <c r="A197" s="128" t="s">
        <v>45</v>
      </c>
      <c r="B197" s="103">
        <v>100</v>
      </c>
      <c r="C197" s="104">
        <f>591*0.1</f>
        <v>59.1</v>
      </c>
      <c r="D197" s="104">
        <f>8.48*0.1</f>
        <v>0.84800000000000009</v>
      </c>
      <c r="E197" s="104">
        <f>50.4*0.1</f>
        <v>5.04</v>
      </c>
      <c r="F197" s="104">
        <f>25.76*0.1</f>
        <v>2.5760000000000005</v>
      </c>
      <c r="G197" s="104">
        <f>591*0.1</f>
        <v>59.1</v>
      </c>
      <c r="H197" s="106" t="s">
        <v>110</v>
      </c>
      <c r="I197" s="106" t="s">
        <v>159</v>
      </c>
    </row>
    <row r="198" spans="1:9">
      <c r="A198" s="128" t="s">
        <v>46</v>
      </c>
      <c r="B198" s="103">
        <v>250</v>
      </c>
      <c r="C198" s="104">
        <f>511*0.25</f>
        <v>127.75</v>
      </c>
      <c r="D198" s="104">
        <f>14.23*0.25</f>
        <v>3.5575000000000001</v>
      </c>
      <c r="E198" s="104">
        <f>20.46*0.25</f>
        <v>5.1150000000000002</v>
      </c>
      <c r="F198" s="104">
        <f>56.66*0.25</f>
        <v>14.164999999999999</v>
      </c>
      <c r="G198" s="104">
        <f>511*0.25</f>
        <v>127.75</v>
      </c>
      <c r="H198" s="106" t="s">
        <v>136</v>
      </c>
      <c r="I198" s="106" t="s">
        <v>159</v>
      </c>
    </row>
    <row r="199" spans="1:9" ht="13.9" customHeight="1">
      <c r="A199" s="128" t="s">
        <v>47</v>
      </c>
      <c r="B199" s="103">
        <v>180</v>
      </c>
      <c r="C199" s="104">
        <f>180*180/125</f>
        <v>259.2</v>
      </c>
      <c r="D199" s="104">
        <f>2.72*180/125</f>
        <v>3.9168000000000003</v>
      </c>
      <c r="E199" s="104">
        <f>10.49*180/125</f>
        <v>15.105600000000001</v>
      </c>
      <c r="F199" s="104">
        <f>18.88*180/125</f>
        <v>27.187199999999997</v>
      </c>
      <c r="G199" s="104">
        <f>180*180/125</f>
        <v>259.2</v>
      </c>
      <c r="H199" s="106" t="s">
        <v>137</v>
      </c>
      <c r="I199" s="106" t="s">
        <v>159</v>
      </c>
    </row>
    <row r="200" spans="1:9">
      <c r="A200" s="128" t="s">
        <v>211</v>
      </c>
      <c r="B200" s="103">
        <v>125</v>
      </c>
      <c r="C200" s="74">
        <v>165.31</v>
      </c>
      <c r="D200" s="74">
        <v>9.4700000000000006</v>
      </c>
      <c r="E200" s="74">
        <v>8.1</v>
      </c>
      <c r="F200" s="74">
        <v>13.49</v>
      </c>
      <c r="G200" s="74">
        <v>165.31</v>
      </c>
      <c r="H200" s="2" t="s">
        <v>106</v>
      </c>
      <c r="I200" s="106" t="s">
        <v>159</v>
      </c>
    </row>
    <row r="201" spans="1:9">
      <c r="A201" s="128" t="s">
        <v>20</v>
      </c>
      <c r="B201" s="103">
        <v>180</v>
      </c>
      <c r="C201" s="75">
        <f>503*0.2</f>
        <v>100.60000000000001</v>
      </c>
      <c r="D201" s="75">
        <f>15.83*0.2</f>
        <v>3.1660000000000004</v>
      </c>
      <c r="E201" s="75">
        <f>13.39*0.2</f>
        <v>2.6780000000000004</v>
      </c>
      <c r="F201" s="75">
        <f>79.73*0.2</f>
        <v>15.946000000000002</v>
      </c>
      <c r="G201" s="75">
        <f>503*0.2</f>
        <v>100.60000000000001</v>
      </c>
      <c r="H201" s="106" t="s">
        <v>112</v>
      </c>
      <c r="I201" s="106" t="s">
        <v>159</v>
      </c>
    </row>
    <row r="202" spans="1:9">
      <c r="A202" s="128" t="s">
        <v>5</v>
      </c>
      <c r="B202" s="103">
        <v>50</v>
      </c>
      <c r="C202" s="105">
        <v>118.4</v>
      </c>
      <c r="D202" s="105">
        <v>3.8</v>
      </c>
      <c r="E202" s="105">
        <v>0.3</v>
      </c>
      <c r="F202" s="105">
        <v>25.1</v>
      </c>
      <c r="G202" s="105">
        <v>118.4</v>
      </c>
      <c r="H202" s="106"/>
      <c r="I202" s="106" t="s">
        <v>160</v>
      </c>
    </row>
    <row r="203" spans="1:9">
      <c r="A203" s="128" t="s">
        <v>6</v>
      </c>
      <c r="B203" s="103">
        <v>30</v>
      </c>
      <c r="C203" s="105">
        <v>61.2</v>
      </c>
      <c r="D203" s="105">
        <v>2</v>
      </c>
      <c r="E203" s="105">
        <v>0.3</v>
      </c>
      <c r="F203" s="105">
        <v>12.7</v>
      </c>
      <c r="G203" s="105">
        <v>61.2</v>
      </c>
      <c r="H203" s="106"/>
      <c r="I203" s="106" t="s">
        <v>160</v>
      </c>
    </row>
    <row r="204" spans="1:9" s="110" customFormat="1" ht="14.25">
      <c r="A204" s="129" t="s">
        <v>7</v>
      </c>
      <c r="B204" s="112">
        <f>SUM(B197:B203)</f>
        <v>915</v>
      </c>
      <c r="C204" s="108">
        <f t="shared" ref="C204" si="41">SUM(C197:C203)</f>
        <v>891.56</v>
      </c>
      <c r="D204" s="108">
        <f t="shared" ref="D204:G204" si="42">SUM(D197:D203)</f>
        <v>26.758300000000002</v>
      </c>
      <c r="E204" s="108">
        <f t="shared" si="42"/>
        <v>36.638599999999997</v>
      </c>
      <c r="F204" s="108">
        <f t="shared" si="42"/>
        <v>111.16420000000001</v>
      </c>
      <c r="G204" s="108">
        <f t="shared" si="42"/>
        <v>891.56</v>
      </c>
      <c r="H204" s="109"/>
      <c r="I204" s="109"/>
    </row>
    <row r="205" spans="1:9">
      <c r="A205" s="214" t="s">
        <v>164</v>
      </c>
      <c r="B205" s="215"/>
      <c r="C205" s="215"/>
      <c r="D205" s="215"/>
      <c r="E205" s="215"/>
      <c r="F205" s="215"/>
      <c r="G205" s="215"/>
      <c r="H205" s="215"/>
      <c r="I205" s="216"/>
    </row>
    <row r="206" spans="1:9">
      <c r="A206" s="128" t="s">
        <v>48</v>
      </c>
      <c r="B206" s="103">
        <v>200</v>
      </c>
      <c r="C206" s="104">
        <f>154*200/105</f>
        <v>293.33333333333331</v>
      </c>
      <c r="D206" s="104">
        <f>1.85*200/105</f>
        <v>3.5238095238095237</v>
      </c>
      <c r="E206" s="104">
        <f>8.35*200/105</f>
        <v>15.904761904761905</v>
      </c>
      <c r="F206" s="104">
        <f>16.59*200/105</f>
        <v>31.6</v>
      </c>
      <c r="G206" s="104">
        <f>154*200/105</f>
        <v>293.33333333333331</v>
      </c>
      <c r="H206" s="106" t="s">
        <v>138</v>
      </c>
      <c r="I206" s="106" t="s">
        <v>159</v>
      </c>
    </row>
    <row r="207" spans="1:9">
      <c r="A207" s="128" t="s">
        <v>49</v>
      </c>
      <c r="B207" s="103">
        <v>180</v>
      </c>
      <c r="C207" s="74">
        <f>61.9*180/200</f>
        <v>55.71</v>
      </c>
      <c r="D207" s="74">
        <v>0</v>
      </c>
      <c r="E207" s="74">
        <v>0</v>
      </c>
      <c r="F207" s="74">
        <f>15.5*180/200</f>
        <v>13.95</v>
      </c>
      <c r="G207" s="74">
        <f>61.9*180/200</f>
        <v>55.71</v>
      </c>
      <c r="H207" s="2" t="s">
        <v>139</v>
      </c>
      <c r="I207" s="106" t="s">
        <v>159</v>
      </c>
    </row>
    <row r="208" spans="1:9">
      <c r="A208" s="128" t="s">
        <v>6</v>
      </c>
      <c r="B208" s="103">
        <v>20</v>
      </c>
      <c r="C208" s="105">
        <v>40.799999999999997</v>
      </c>
      <c r="D208" s="105">
        <v>1.3</v>
      </c>
      <c r="E208" s="105">
        <v>0.2</v>
      </c>
      <c r="F208" s="105">
        <v>8.5</v>
      </c>
      <c r="G208" s="105">
        <v>40.799999999999997</v>
      </c>
      <c r="H208" s="106"/>
      <c r="I208" s="106" t="s">
        <v>160</v>
      </c>
    </row>
    <row r="209" spans="1:9" s="110" customFormat="1" ht="14.25">
      <c r="A209" s="129" t="s">
        <v>7</v>
      </c>
      <c r="B209" s="114">
        <f t="shared" ref="B209:G209" si="43">SUM(B206:B208)</f>
        <v>400</v>
      </c>
      <c r="C209" s="108">
        <f t="shared" ref="C209" si="44">SUM(C206:C208)</f>
        <v>389.84333333333331</v>
      </c>
      <c r="D209" s="108">
        <f t="shared" si="43"/>
        <v>4.8238095238095235</v>
      </c>
      <c r="E209" s="108">
        <f t="shared" si="43"/>
        <v>16.104761904761904</v>
      </c>
      <c r="F209" s="108">
        <f t="shared" si="43"/>
        <v>54.05</v>
      </c>
      <c r="G209" s="108">
        <f t="shared" si="43"/>
        <v>389.84333333333331</v>
      </c>
      <c r="H209" s="109"/>
      <c r="I209" s="109"/>
    </row>
    <row r="210" spans="1:9" s="110" customFormat="1" ht="14.25">
      <c r="A210" s="205" t="s">
        <v>92</v>
      </c>
      <c r="B210" s="206"/>
      <c r="C210" s="115">
        <f>C209+C204+C195</f>
        <v>2146.0033333333331</v>
      </c>
      <c r="D210" s="115">
        <f>D209+D204+D195</f>
        <v>69.642109523809523</v>
      </c>
      <c r="E210" s="115">
        <f>E209+E204+E195</f>
        <v>78.808361904761895</v>
      </c>
      <c r="F210" s="115">
        <f>F209+F204+F195</f>
        <v>284.37920000000003</v>
      </c>
      <c r="G210" s="115">
        <f>G209+G204+G195</f>
        <v>2146.0033333333331</v>
      </c>
      <c r="H210" s="109"/>
      <c r="I210" s="109"/>
    </row>
    <row r="211" spans="1:9">
      <c r="A211" s="200" t="s">
        <v>212</v>
      </c>
      <c r="B211" s="200"/>
      <c r="C211" s="200"/>
      <c r="D211" s="200"/>
      <c r="E211" s="200"/>
      <c r="F211" s="200"/>
      <c r="G211" s="200"/>
      <c r="H211" s="200"/>
      <c r="I211" s="200"/>
    </row>
    <row r="212" spans="1:9">
      <c r="A212" s="217" t="s">
        <v>213</v>
      </c>
      <c r="B212" s="217"/>
      <c r="C212" s="217"/>
      <c r="D212" s="217"/>
      <c r="E212" s="217"/>
      <c r="F212" s="217"/>
      <c r="G212" s="217"/>
      <c r="H212" s="217"/>
      <c r="I212" s="217"/>
    </row>
    <row r="213" spans="1:9" ht="13.9" customHeight="1">
      <c r="A213" s="208" t="s">
        <v>0</v>
      </c>
      <c r="B213" s="203" t="s">
        <v>1</v>
      </c>
      <c r="C213" s="201" t="s">
        <v>2</v>
      </c>
      <c r="D213" s="218" t="s">
        <v>88</v>
      </c>
      <c r="E213" s="219"/>
      <c r="F213" s="220"/>
      <c r="G213" s="201" t="s">
        <v>2</v>
      </c>
      <c r="H213" s="203" t="s">
        <v>100</v>
      </c>
      <c r="I213" s="203" t="s">
        <v>156</v>
      </c>
    </row>
    <row r="214" spans="1:9" ht="30">
      <c r="A214" s="209"/>
      <c r="B214" s="204"/>
      <c r="C214" s="202"/>
      <c r="D214" s="102" t="s">
        <v>89</v>
      </c>
      <c r="E214" s="102" t="s">
        <v>90</v>
      </c>
      <c r="F214" s="102" t="s">
        <v>91</v>
      </c>
      <c r="G214" s="202"/>
      <c r="H214" s="204"/>
      <c r="I214" s="204"/>
    </row>
    <row r="215" spans="1:9">
      <c r="A215" s="214" t="s">
        <v>157</v>
      </c>
      <c r="B215" s="215"/>
      <c r="C215" s="215"/>
      <c r="D215" s="215"/>
      <c r="E215" s="215"/>
      <c r="F215" s="215"/>
      <c r="G215" s="215"/>
      <c r="H215" s="215"/>
      <c r="I215" s="216"/>
    </row>
    <row r="216" spans="1:9">
      <c r="A216" s="128" t="s">
        <v>50</v>
      </c>
      <c r="B216" s="103">
        <v>100</v>
      </c>
      <c r="C216" s="104">
        <f>953*0.1</f>
        <v>95.300000000000011</v>
      </c>
      <c r="D216" s="104">
        <f>12.57*0.1</f>
        <v>1.2570000000000001</v>
      </c>
      <c r="E216" s="104">
        <f>1.33*0.1</f>
        <v>0.13300000000000001</v>
      </c>
      <c r="F216" s="104">
        <f>222.75*0.1</f>
        <v>22.275000000000002</v>
      </c>
      <c r="G216" s="104">
        <f>953*0.1</f>
        <v>95.300000000000011</v>
      </c>
      <c r="H216" s="106" t="s">
        <v>140</v>
      </c>
      <c r="I216" s="106" t="s">
        <v>159</v>
      </c>
    </row>
    <row r="217" spans="1:9">
      <c r="A217" s="128" t="s">
        <v>39</v>
      </c>
      <c r="B217" s="103">
        <v>180</v>
      </c>
      <c r="C217" s="104">
        <f>915*0.18</f>
        <v>164.7</v>
      </c>
      <c r="D217" s="104">
        <f>20.43*0.18</f>
        <v>3.6774</v>
      </c>
      <c r="E217" s="104">
        <f>32.01*0.18</f>
        <v>5.7617999999999991</v>
      </c>
      <c r="F217" s="104">
        <f>136.26*0.18</f>
        <v>24.526799999999998</v>
      </c>
      <c r="G217" s="104">
        <f>915*0.18</f>
        <v>164.7</v>
      </c>
      <c r="H217" s="106" t="s">
        <v>130</v>
      </c>
      <c r="I217" s="106" t="s">
        <v>159</v>
      </c>
    </row>
    <row r="218" spans="1:9">
      <c r="A218" s="128" t="s">
        <v>51</v>
      </c>
      <c r="B218" s="103">
        <v>100</v>
      </c>
      <c r="C218" s="104">
        <f>145.9*100/120</f>
        <v>121.58333333333333</v>
      </c>
      <c r="D218" s="104">
        <f>18.7*100/120</f>
        <v>15.583333333333334</v>
      </c>
      <c r="E218" s="104">
        <f>6*100/120</f>
        <v>5</v>
      </c>
      <c r="F218" s="104">
        <f>4.2*100/120</f>
        <v>3.5</v>
      </c>
      <c r="G218" s="104">
        <f>145.9*100/120</f>
        <v>121.58333333333333</v>
      </c>
      <c r="H218" s="106" t="s">
        <v>141</v>
      </c>
      <c r="I218" s="106" t="s">
        <v>204</v>
      </c>
    </row>
    <row r="219" spans="1:9" s="29" customFormat="1">
      <c r="A219" s="130" t="s">
        <v>38</v>
      </c>
      <c r="B219" s="117">
        <v>180</v>
      </c>
      <c r="C219" s="74">
        <f>593*0.18</f>
        <v>106.74</v>
      </c>
      <c r="D219" s="74">
        <f>20.39*0.18</f>
        <v>3.6701999999999999</v>
      </c>
      <c r="E219" s="74">
        <f>17.72*0.18</f>
        <v>3.1895999999999995</v>
      </c>
      <c r="F219" s="74">
        <f>87.89*0.18</f>
        <v>15.8202</v>
      </c>
      <c r="G219" s="74">
        <f>593*0.18</f>
        <v>106.74</v>
      </c>
      <c r="H219" s="86" t="s">
        <v>129</v>
      </c>
      <c r="I219" s="86" t="s">
        <v>159</v>
      </c>
    </row>
    <row r="220" spans="1:9">
      <c r="A220" s="128" t="s">
        <v>5</v>
      </c>
      <c r="B220" s="103">
        <v>20</v>
      </c>
      <c r="C220" s="105">
        <v>47.4</v>
      </c>
      <c r="D220" s="105">
        <v>1.5</v>
      </c>
      <c r="E220" s="105">
        <v>0.1</v>
      </c>
      <c r="F220" s="105">
        <v>10</v>
      </c>
      <c r="G220" s="105">
        <v>47.4</v>
      </c>
      <c r="H220" s="106"/>
      <c r="I220" s="106" t="s">
        <v>160</v>
      </c>
    </row>
    <row r="221" spans="1:9">
      <c r="A221" s="128" t="s">
        <v>6</v>
      </c>
      <c r="B221" s="103">
        <v>20</v>
      </c>
      <c r="C221" s="105">
        <v>40.799999999999997</v>
      </c>
      <c r="D221" s="105">
        <v>1.3</v>
      </c>
      <c r="E221" s="105">
        <v>0.2</v>
      </c>
      <c r="F221" s="105">
        <v>8.5</v>
      </c>
      <c r="G221" s="105">
        <v>40.799999999999997</v>
      </c>
      <c r="H221" s="106"/>
      <c r="I221" s="106" t="s">
        <v>160</v>
      </c>
    </row>
    <row r="222" spans="1:9" s="110" customFormat="1" ht="14.25">
      <c r="A222" s="129" t="s">
        <v>7</v>
      </c>
      <c r="B222" s="114">
        <f>SUM(B216:B221)</f>
        <v>600</v>
      </c>
      <c r="C222" s="108">
        <f t="shared" ref="C222" si="45">SUM(C216:C221)</f>
        <v>576.52333333333331</v>
      </c>
      <c r="D222" s="108">
        <f t="shared" ref="D222:G222" si="46">SUM(D216:D221)</f>
        <v>26.987933333333334</v>
      </c>
      <c r="E222" s="108">
        <f t="shared" si="46"/>
        <v>14.384399999999998</v>
      </c>
      <c r="F222" s="108">
        <f t="shared" si="46"/>
        <v>84.622</v>
      </c>
      <c r="G222" s="108">
        <f t="shared" si="46"/>
        <v>576.52333333333331</v>
      </c>
      <c r="H222" s="109"/>
      <c r="I222" s="109"/>
    </row>
    <row r="223" spans="1:9">
      <c r="A223" s="214" t="s">
        <v>161</v>
      </c>
      <c r="B223" s="215"/>
      <c r="C223" s="215"/>
      <c r="D223" s="215"/>
      <c r="E223" s="215"/>
      <c r="F223" s="215"/>
      <c r="G223" s="215"/>
      <c r="H223" s="215"/>
      <c r="I223" s="216"/>
    </row>
    <row r="224" spans="1:9">
      <c r="A224" s="128" t="s">
        <v>52</v>
      </c>
      <c r="B224" s="103">
        <v>100</v>
      </c>
      <c r="C224" s="104">
        <f>1251*0.1</f>
        <v>125.10000000000001</v>
      </c>
      <c r="D224" s="104">
        <f>14.03*0.1</f>
        <v>1.403</v>
      </c>
      <c r="E224" s="104">
        <v>8.0399999999999991</v>
      </c>
      <c r="F224" s="104">
        <f>72.9*0.1</f>
        <v>7.2900000000000009</v>
      </c>
      <c r="G224" s="104">
        <f>1251*0.1</f>
        <v>125.10000000000001</v>
      </c>
      <c r="H224" s="106" t="s">
        <v>142</v>
      </c>
      <c r="I224" s="106" t="s">
        <v>159</v>
      </c>
    </row>
    <row r="225" spans="1:9" ht="13.9" customHeight="1">
      <c r="A225" s="128" t="s">
        <v>53</v>
      </c>
      <c r="B225" s="103">
        <v>250</v>
      </c>
      <c r="C225" s="104">
        <f>473*0.25</f>
        <v>118.25</v>
      </c>
      <c r="D225" s="104">
        <f>10.75*0.25</f>
        <v>2.6875</v>
      </c>
      <c r="E225" s="104">
        <f>11.35*0.25</f>
        <v>2.8374999999999999</v>
      </c>
      <c r="F225" s="104">
        <f>69.82*0.25</f>
        <v>17.454999999999998</v>
      </c>
      <c r="G225" s="104">
        <f>473*0.25</f>
        <v>118.25</v>
      </c>
      <c r="H225" s="106" t="s">
        <v>143</v>
      </c>
      <c r="I225" s="106" t="s">
        <v>159</v>
      </c>
    </row>
    <row r="226" spans="1:9">
      <c r="A226" s="128" t="s">
        <v>54</v>
      </c>
      <c r="B226" s="103">
        <v>180</v>
      </c>
      <c r="C226" s="104">
        <f>884*0.18</f>
        <v>159.12</v>
      </c>
      <c r="D226" s="104">
        <f>17.76*0.18</f>
        <v>3.1968000000000001</v>
      </c>
      <c r="E226" s="104">
        <f>53.38*0.18</f>
        <v>9.6083999999999996</v>
      </c>
      <c r="F226" s="104">
        <f>83.13*0.18</f>
        <v>14.963399999999998</v>
      </c>
      <c r="G226" s="104">
        <f>884*0.18</f>
        <v>159.12</v>
      </c>
      <c r="H226" s="106" t="s">
        <v>144</v>
      </c>
      <c r="I226" s="106" t="s">
        <v>159</v>
      </c>
    </row>
    <row r="227" spans="1:9" ht="13.9" customHeight="1">
      <c r="A227" s="128" t="s">
        <v>214</v>
      </c>
      <c r="B227" s="103">
        <v>120</v>
      </c>
      <c r="C227" s="74">
        <f>199.1*120/110</f>
        <v>217.2</v>
      </c>
      <c r="D227" s="74">
        <f>9.45*120/110</f>
        <v>10.309090909090909</v>
      </c>
      <c r="E227" s="74">
        <f>9.42*120/110</f>
        <v>10.276363636363637</v>
      </c>
      <c r="F227" s="74">
        <f>10.7*120/110</f>
        <v>11.672727272727272</v>
      </c>
      <c r="G227" s="74">
        <f>199.1*120/110</f>
        <v>217.2</v>
      </c>
      <c r="H227" s="2">
        <v>296</v>
      </c>
      <c r="I227" s="106" t="s">
        <v>159</v>
      </c>
    </row>
    <row r="228" spans="1:9" s="29" customFormat="1">
      <c r="A228" s="130" t="s">
        <v>215</v>
      </c>
      <c r="B228" s="117">
        <v>180</v>
      </c>
      <c r="C228" s="74">
        <f>141*0.18</f>
        <v>25.38</v>
      </c>
      <c r="D228" s="74">
        <f>3.39*0.18</f>
        <v>0.61019999999999996</v>
      </c>
      <c r="E228" s="74">
        <f>1.39*0.18</f>
        <v>0.25019999999999998</v>
      </c>
      <c r="F228" s="74">
        <f>103.8*0.18</f>
        <v>18.683999999999997</v>
      </c>
      <c r="G228" s="74">
        <f>141*0.18</f>
        <v>25.38</v>
      </c>
      <c r="H228" s="2">
        <v>388</v>
      </c>
      <c r="I228" s="86" t="s">
        <v>159</v>
      </c>
    </row>
    <row r="229" spans="1:9" s="29" customFormat="1">
      <c r="A229" s="130" t="s">
        <v>72</v>
      </c>
      <c r="B229" s="117">
        <v>100</v>
      </c>
      <c r="C229" s="104">
        <v>56.4</v>
      </c>
      <c r="D229" s="104">
        <v>0.5</v>
      </c>
      <c r="E229" s="104">
        <v>0.5</v>
      </c>
      <c r="F229" s="104">
        <v>11.8</v>
      </c>
      <c r="G229" s="104">
        <v>56.4</v>
      </c>
      <c r="H229" s="86" t="s">
        <v>103</v>
      </c>
      <c r="I229" s="86" t="s">
        <v>159</v>
      </c>
    </row>
    <row r="230" spans="1:9">
      <c r="A230" s="128" t="s">
        <v>5</v>
      </c>
      <c r="B230" s="103">
        <v>50</v>
      </c>
      <c r="C230" s="105">
        <v>118.4</v>
      </c>
      <c r="D230" s="105">
        <v>3.8</v>
      </c>
      <c r="E230" s="105">
        <v>0.3</v>
      </c>
      <c r="F230" s="105">
        <v>25.1</v>
      </c>
      <c r="G230" s="105">
        <v>118.4</v>
      </c>
      <c r="H230" s="106"/>
      <c r="I230" s="106" t="s">
        <v>160</v>
      </c>
    </row>
    <row r="231" spans="1:9">
      <c r="A231" s="128" t="s">
        <v>6</v>
      </c>
      <c r="B231" s="103">
        <v>30</v>
      </c>
      <c r="C231" s="105">
        <v>61.2</v>
      </c>
      <c r="D231" s="105">
        <v>2</v>
      </c>
      <c r="E231" s="105">
        <v>0.3</v>
      </c>
      <c r="F231" s="105">
        <v>12.7</v>
      </c>
      <c r="G231" s="105">
        <v>61.2</v>
      </c>
      <c r="H231" s="106"/>
      <c r="I231" s="106" t="s">
        <v>160</v>
      </c>
    </row>
    <row r="232" spans="1:9" s="121" customFormat="1">
      <c r="A232" s="131" t="s">
        <v>25</v>
      </c>
      <c r="B232" s="118">
        <v>200</v>
      </c>
      <c r="C232" s="119">
        <v>52</v>
      </c>
      <c r="D232" s="119">
        <v>2.8</v>
      </c>
      <c r="E232" s="119">
        <v>2.5</v>
      </c>
      <c r="F232" s="119">
        <v>4.7</v>
      </c>
      <c r="G232" s="119">
        <v>52</v>
      </c>
      <c r="H232" s="120" t="s">
        <v>114</v>
      </c>
      <c r="I232" s="120" t="s">
        <v>159</v>
      </c>
    </row>
    <row r="233" spans="1:9" s="110" customFormat="1" ht="14.25">
      <c r="A233" s="129" t="s">
        <v>7</v>
      </c>
      <c r="B233" s="114">
        <f>SUM(B224:B232)</f>
        <v>1210</v>
      </c>
      <c r="C233" s="108">
        <f t="shared" ref="C233" si="47">SUM(C224:C232)</f>
        <v>933.05000000000007</v>
      </c>
      <c r="D233" s="108">
        <f t="shared" ref="D233:G233" si="48">SUM(D224:D232)</f>
        <v>27.306590909090907</v>
      </c>
      <c r="E233" s="108">
        <f t="shared" si="48"/>
        <v>34.612463636363636</v>
      </c>
      <c r="F233" s="108">
        <f t="shared" si="48"/>
        <v>124.36512727272728</v>
      </c>
      <c r="G233" s="108">
        <f t="shared" si="48"/>
        <v>933.05000000000007</v>
      </c>
      <c r="H233" s="109"/>
      <c r="I233" s="109"/>
    </row>
    <row r="234" spans="1:9">
      <c r="A234" s="214" t="s">
        <v>164</v>
      </c>
      <c r="B234" s="215"/>
      <c r="C234" s="215"/>
      <c r="D234" s="215"/>
      <c r="E234" s="215"/>
      <c r="F234" s="215"/>
      <c r="G234" s="215"/>
      <c r="H234" s="215"/>
      <c r="I234" s="216"/>
    </row>
    <row r="235" spans="1:9" ht="13.9" customHeight="1">
      <c r="A235" s="128" t="s">
        <v>216</v>
      </c>
      <c r="B235" s="103">
        <v>200</v>
      </c>
      <c r="C235" s="104">
        <f>245.8*200/150</f>
        <v>327.73333333333335</v>
      </c>
      <c r="D235" s="104">
        <f>10*200/150</f>
        <v>13.333333333333334</v>
      </c>
      <c r="E235" s="104">
        <f>7.5*200/150</f>
        <v>10</v>
      </c>
      <c r="F235" s="104">
        <f>31.6*200/150</f>
        <v>42.133333333333333</v>
      </c>
      <c r="G235" s="104">
        <f>245.8*200/150</f>
        <v>327.73333333333335</v>
      </c>
      <c r="H235" s="106" t="s">
        <v>217</v>
      </c>
      <c r="I235" s="106" t="s">
        <v>159</v>
      </c>
    </row>
    <row r="236" spans="1:9">
      <c r="A236" s="128" t="s">
        <v>29</v>
      </c>
      <c r="B236" s="103">
        <v>200</v>
      </c>
      <c r="C236" s="74">
        <v>83.4</v>
      </c>
      <c r="D236" s="74">
        <f>5*0.2</f>
        <v>1</v>
      </c>
      <c r="E236" s="74">
        <v>0.2</v>
      </c>
      <c r="F236" s="74">
        <v>19.600000000000001</v>
      </c>
      <c r="G236" s="74">
        <v>83.4</v>
      </c>
      <c r="H236" s="106" t="s">
        <v>107</v>
      </c>
      <c r="I236" s="106" t="s">
        <v>176</v>
      </c>
    </row>
    <row r="237" spans="1:9">
      <c r="A237" s="128" t="s">
        <v>5</v>
      </c>
      <c r="B237" s="103">
        <v>20</v>
      </c>
      <c r="C237" s="105">
        <v>47.4</v>
      </c>
      <c r="D237" s="105">
        <v>1.5</v>
      </c>
      <c r="E237" s="105">
        <v>0.1</v>
      </c>
      <c r="F237" s="105">
        <v>10</v>
      </c>
      <c r="G237" s="105">
        <v>47.4</v>
      </c>
      <c r="H237" s="106"/>
      <c r="I237" s="106" t="s">
        <v>160</v>
      </c>
    </row>
    <row r="238" spans="1:9">
      <c r="A238" s="128" t="s">
        <v>6</v>
      </c>
      <c r="B238" s="103">
        <v>20</v>
      </c>
      <c r="C238" s="105">
        <v>40.799999999999997</v>
      </c>
      <c r="D238" s="105">
        <v>1.3</v>
      </c>
      <c r="E238" s="105">
        <v>0.2</v>
      </c>
      <c r="F238" s="105">
        <v>8.5</v>
      </c>
      <c r="G238" s="105">
        <v>40.799999999999997</v>
      </c>
      <c r="H238" s="106"/>
      <c r="I238" s="106" t="s">
        <v>160</v>
      </c>
    </row>
    <row r="239" spans="1:9" s="110" customFormat="1" ht="14.25">
      <c r="A239" s="129" t="s">
        <v>7</v>
      </c>
      <c r="B239" s="114">
        <f>SUM(B235:B238)</f>
        <v>440</v>
      </c>
      <c r="C239" s="108">
        <f t="shared" ref="C239" si="49">SUM(C235:C238)</f>
        <v>499.33333333333331</v>
      </c>
      <c r="D239" s="108">
        <f t="shared" ref="D239:G239" si="50">SUM(D235:D238)</f>
        <v>17.133333333333333</v>
      </c>
      <c r="E239" s="108">
        <f t="shared" si="50"/>
        <v>10.499999999999998</v>
      </c>
      <c r="F239" s="108">
        <f t="shared" si="50"/>
        <v>80.233333333333334</v>
      </c>
      <c r="G239" s="108">
        <f t="shared" si="50"/>
        <v>499.33333333333331</v>
      </c>
      <c r="H239" s="109"/>
      <c r="I239" s="109"/>
    </row>
    <row r="240" spans="1:9" s="110" customFormat="1" ht="14.25">
      <c r="A240" s="205" t="s">
        <v>92</v>
      </c>
      <c r="B240" s="206"/>
      <c r="C240" s="115">
        <f>C239+C233+C222</f>
        <v>2008.9066666666668</v>
      </c>
      <c r="D240" s="115">
        <f>D239+D233+D222</f>
        <v>71.427857575757571</v>
      </c>
      <c r="E240" s="115">
        <f>E239+E233+E222</f>
        <v>59.496863636363635</v>
      </c>
      <c r="F240" s="115">
        <f>F239+F233+F222</f>
        <v>289.22046060606061</v>
      </c>
      <c r="G240" s="115">
        <f>G239+G233+G222</f>
        <v>2008.9066666666668</v>
      </c>
      <c r="H240" s="109"/>
      <c r="I240" s="109"/>
    </row>
    <row r="241" spans="1:9">
      <c r="A241" s="200" t="s">
        <v>218</v>
      </c>
      <c r="B241" s="200"/>
      <c r="C241" s="200"/>
      <c r="D241" s="200"/>
      <c r="E241" s="200"/>
      <c r="F241" s="200"/>
      <c r="G241" s="200"/>
      <c r="H241" s="200"/>
      <c r="I241" s="200"/>
    </row>
    <row r="242" spans="1:9">
      <c r="A242" s="217" t="s">
        <v>219</v>
      </c>
      <c r="B242" s="217"/>
      <c r="C242" s="217"/>
      <c r="D242" s="217"/>
      <c r="E242" s="217"/>
      <c r="F242" s="217"/>
      <c r="G242" s="217"/>
      <c r="H242" s="217"/>
      <c r="I242" s="217"/>
    </row>
    <row r="243" spans="1:9" ht="13.9" customHeight="1">
      <c r="A243" s="208" t="s">
        <v>0</v>
      </c>
      <c r="B243" s="203" t="s">
        <v>1</v>
      </c>
      <c r="C243" s="201" t="s">
        <v>2</v>
      </c>
      <c r="D243" s="218" t="s">
        <v>88</v>
      </c>
      <c r="E243" s="219"/>
      <c r="F243" s="220"/>
      <c r="G243" s="201" t="s">
        <v>2</v>
      </c>
      <c r="H243" s="203" t="s">
        <v>100</v>
      </c>
      <c r="I243" s="203" t="s">
        <v>156</v>
      </c>
    </row>
    <row r="244" spans="1:9" ht="30">
      <c r="A244" s="209"/>
      <c r="B244" s="204"/>
      <c r="C244" s="202"/>
      <c r="D244" s="102" t="s">
        <v>89</v>
      </c>
      <c r="E244" s="102" t="s">
        <v>90</v>
      </c>
      <c r="F244" s="102" t="s">
        <v>91</v>
      </c>
      <c r="G244" s="202"/>
      <c r="H244" s="204"/>
      <c r="I244" s="204"/>
    </row>
    <row r="245" spans="1:9">
      <c r="A245" s="214" t="s">
        <v>157</v>
      </c>
      <c r="B245" s="215"/>
      <c r="C245" s="215"/>
      <c r="D245" s="215"/>
      <c r="E245" s="215"/>
      <c r="F245" s="215"/>
      <c r="G245" s="215"/>
      <c r="H245" s="215"/>
      <c r="I245" s="216"/>
    </row>
    <row r="246" spans="1:9" ht="13.9" customHeight="1">
      <c r="A246" s="128" t="s">
        <v>55</v>
      </c>
      <c r="B246" s="103">
        <v>200</v>
      </c>
      <c r="C246" s="104">
        <f>186*200/135</f>
        <v>275.55555555555554</v>
      </c>
      <c r="D246" s="104">
        <f>7.32*200/135</f>
        <v>10.844444444444445</v>
      </c>
      <c r="E246" s="104">
        <f>5.5*200/135</f>
        <v>8.1481481481481488</v>
      </c>
      <c r="F246" s="104">
        <f>26.52*200/135</f>
        <v>39.288888888888891</v>
      </c>
      <c r="G246" s="104">
        <f>186*200/135</f>
        <v>275.55555555555554</v>
      </c>
      <c r="H246" s="106" t="s">
        <v>145</v>
      </c>
      <c r="I246" s="106" t="s">
        <v>159</v>
      </c>
    </row>
    <row r="247" spans="1:9">
      <c r="A247" s="128" t="s">
        <v>84</v>
      </c>
      <c r="B247" s="103">
        <v>100</v>
      </c>
      <c r="C247" s="74">
        <f>107*100/75</f>
        <v>142.66666666666666</v>
      </c>
      <c r="D247" s="74">
        <f>0.27*100/75</f>
        <v>0.36</v>
      </c>
      <c r="E247" s="74">
        <f>0.28*100/75</f>
        <v>0.37333333333333341</v>
      </c>
      <c r="F247" s="74">
        <f>43.38*100/75</f>
        <v>57.84</v>
      </c>
      <c r="G247" s="74">
        <f>107*100/75</f>
        <v>142.66666666666666</v>
      </c>
      <c r="H247" s="2">
        <v>372</v>
      </c>
      <c r="I247" s="106" t="s">
        <v>159</v>
      </c>
    </row>
    <row r="248" spans="1:9">
      <c r="A248" s="128" t="s">
        <v>41</v>
      </c>
      <c r="B248" s="103">
        <v>180</v>
      </c>
      <c r="C248" s="75">
        <f>503*0.18</f>
        <v>90.539999999999992</v>
      </c>
      <c r="D248" s="75">
        <f>15.83*0.18</f>
        <v>2.8493999999999997</v>
      </c>
      <c r="E248" s="75">
        <f>13.39*0.18</f>
        <v>2.4102000000000001</v>
      </c>
      <c r="F248" s="75">
        <f>79.73*0.18</f>
        <v>14.3514</v>
      </c>
      <c r="G248" s="75">
        <f>503*0.18</f>
        <v>90.539999999999992</v>
      </c>
      <c r="H248" s="2" t="s">
        <v>112</v>
      </c>
      <c r="I248" s="106">
        <v>2017</v>
      </c>
    </row>
    <row r="249" spans="1:9">
      <c r="A249" s="128" t="s">
        <v>85</v>
      </c>
      <c r="B249" s="103">
        <v>65</v>
      </c>
      <c r="C249" s="74">
        <v>156</v>
      </c>
      <c r="D249" s="74">
        <v>2.4</v>
      </c>
      <c r="E249" s="74">
        <v>3.87</v>
      </c>
      <c r="F249" s="74">
        <v>27.83</v>
      </c>
      <c r="G249" s="74">
        <v>156</v>
      </c>
      <c r="H249" s="2">
        <v>2</v>
      </c>
      <c r="I249" s="106"/>
    </row>
    <row r="250" spans="1:9">
      <c r="A250" s="128" t="s">
        <v>5</v>
      </c>
      <c r="B250" s="103">
        <v>40</v>
      </c>
      <c r="C250" s="105">
        <v>94.7</v>
      </c>
      <c r="D250" s="105">
        <v>3.1</v>
      </c>
      <c r="E250" s="105">
        <v>0.2</v>
      </c>
      <c r="F250" s="105">
        <v>20.100000000000001</v>
      </c>
      <c r="G250" s="105">
        <v>94.7</v>
      </c>
      <c r="H250" s="106"/>
      <c r="I250" s="106" t="s">
        <v>160</v>
      </c>
    </row>
    <row r="251" spans="1:9">
      <c r="A251" s="128" t="s">
        <v>6</v>
      </c>
      <c r="B251" s="103">
        <v>20</v>
      </c>
      <c r="C251" s="105">
        <v>40.799999999999997</v>
      </c>
      <c r="D251" s="105">
        <v>1.3</v>
      </c>
      <c r="E251" s="105">
        <v>0.2</v>
      </c>
      <c r="F251" s="105">
        <v>8.5</v>
      </c>
      <c r="G251" s="105">
        <v>40.799999999999997</v>
      </c>
      <c r="H251" s="106"/>
      <c r="I251" s="106" t="s">
        <v>160</v>
      </c>
    </row>
    <row r="252" spans="1:9" s="110" customFormat="1" ht="14.25">
      <c r="A252" s="129" t="s">
        <v>7</v>
      </c>
      <c r="B252" s="114">
        <f>SUM(B246:B251)</f>
        <v>605</v>
      </c>
      <c r="C252" s="108">
        <f t="shared" ref="C252" si="51">SUM(C246:C251)</f>
        <v>800.26222222222214</v>
      </c>
      <c r="D252" s="108">
        <f t="shared" ref="D252:G252" si="52">SUM(D246:D251)</f>
        <v>20.853844444444444</v>
      </c>
      <c r="E252" s="108">
        <f t="shared" si="52"/>
        <v>15.201681481481479</v>
      </c>
      <c r="F252" s="108">
        <f t="shared" si="52"/>
        <v>167.91028888888889</v>
      </c>
      <c r="G252" s="108">
        <f t="shared" si="52"/>
        <v>800.26222222222214</v>
      </c>
      <c r="H252" s="109"/>
      <c r="I252" s="109"/>
    </row>
    <row r="253" spans="1:9">
      <c r="A253" s="214" t="s">
        <v>161</v>
      </c>
      <c r="B253" s="215"/>
      <c r="C253" s="215"/>
      <c r="D253" s="215"/>
      <c r="E253" s="215"/>
      <c r="F253" s="215"/>
      <c r="G253" s="215"/>
      <c r="H253" s="215"/>
      <c r="I253" s="216"/>
    </row>
    <row r="254" spans="1:9" ht="13.9" customHeight="1">
      <c r="A254" s="128" t="s">
        <v>56</v>
      </c>
      <c r="B254" s="111">
        <v>100</v>
      </c>
      <c r="C254" s="119">
        <f>901*0.1</f>
        <v>90.100000000000009</v>
      </c>
      <c r="D254" s="119">
        <f>1.22*0.1</f>
        <v>0.122</v>
      </c>
      <c r="E254" s="119">
        <f>51.04*0.1</f>
        <v>5.1040000000000001</v>
      </c>
      <c r="F254" s="119">
        <f>111.65*0.1</f>
        <v>11.165000000000001</v>
      </c>
      <c r="G254" s="119">
        <f>901*0.1</f>
        <v>90.100000000000009</v>
      </c>
      <c r="H254" s="106" t="s">
        <v>146</v>
      </c>
      <c r="I254" s="106" t="s">
        <v>159</v>
      </c>
    </row>
    <row r="255" spans="1:9">
      <c r="A255" s="128" t="s">
        <v>220</v>
      </c>
      <c r="B255" s="111">
        <v>250</v>
      </c>
      <c r="C255" s="104">
        <f>593*0.25</f>
        <v>148.25</v>
      </c>
      <c r="D255" s="104">
        <f>21.96*0.06</f>
        <v>1.3176000000000001</v>
      </c>
      <c r="E255" s="104">
        <v>3.27</v>
      </c>
      <c r="F255" s="104">
        <f>66.14*0.25</f>
        <v>16.535</v>
      </c>
      <c r="G255" s="104">
        <f>593*0.25</f>
        <v>148.25</v>
      </c>
      <c r="H255" s="106" t="s">
        <v>168</v>
      </c>
      <c r="I255" s="106" t="s">
        <v>159</v>
      </c>
    </row>
    <row r="256" spans="1:9">
      <c r="A256" s="128" t="s">
        <v>57</v>
      </c>
      <c r="B256" s="111">
        <v>180</v>
      </c>
      <c r="C256" s="104">
        <f>1625*0.18</f>
        <v>292.5</v>
      </c>
      <c r="D256" s="104">
        <f>57.32*0.18</f>
        <v>10.317600000000001</v>
      </c>
      <c r="E256" s="104">
        <f>40.62*0.18</f>
        <v>7.3115999999999994</v>
      </c>
      <c r="F256" s="104">
        <f>257.61*0.18</f>
        <v>46.369799999999998</v>
      </c>
      <c r="G256" s="104">
        <f>1625*0.18</f>
        <v>292.5</v>
      </c>
      <c r="H256" s="106" t="s">
        <v>147</v>
      </c>
      <c r="I256" s="106" t="s">
        <v>159</v>
      </c>
    </row>
    <row r="257" spans="1:9">
      <c r="A257" s="128" t="s">
        <v>221</v>
      </c>
      <c r="B257" s="111">
        <v>130</v>
      </c>
      <c r="C257" s="104">
        <f>151*100/110</f>
        <v>137.27272727272728</v>
      </c>
      <c r="D257" s="104">
        <f>7.83*100/110</f>
        <v>7.1181818181818182</v>
      </c>
      <c r="E257" s="104">
        <f>8.75*100/110</f>
        <v>7.9545454545454541</v>
      </c>
      <c r="F257" s="104">
        <f>10.25*100/110</f>
        <v>9.3181818181818183</v>
      </c>
      <c r="G257" s="104">
        <f>151*100/110</f>
        <v>137.27272727272728</v>
      </c>
      <c r="H257" s="106" t="s">
        <v>222</v>
      </c>
      <c r="I257" s="106" t="s">
        <v>159</v>
      </c>
    </row>
    <row r="258" spans="1:9" ht="13.9" customHeight="1">
      <c r="A258" s="128" t="s">
        <v>73</v>
      </c>
      <c r="B258" s="111">
        <v>180</v>
      </c>
      <c r="C258" s="104">
        <v>95.4</v>
      </c>
      <c r="D258" s="104">
        <v>5.2</v>
      </c>
      <c r="E258" s="104">
        <v>4.5</v>
      </c>
      <c r="F258" s="104">
        <v>7.2</v>
      </c>
      <c r="G258" s="104">
        <v>95.4</v>
      </c>
      <c r="H258" s="106" t="s">
        <v>109</v>
      </c>
      <c r="I258" s="106" t="s">
        <v>159</v>
      </c>
    </row>
    <row r="259" spans="1:9">
      <c r="A259" s="128" t="s">
        <v>5</v>
      </c>
      <c r="B259" s="111">
        <v>50</v>
      </c>
      <c r="C259" s="105">
        <v>118.4</v>
      </c>
      <c r="D259" s="105">
        <v>3.8</v>
      </c>
      <c r="E259" s="105">
        <v>0.3</v>
      </c>
      <c r="F259" s="105">
        <v>25.1</v>
      </c>
      <c r="G259" s="105">
        <v>118.4</v>
      </c>
      <c r="H259" s="106"/>
      <c r="I259" s="106" t="s">
        <v>160</v>
      </c>
    </row>
    <row r="260" spans="1:9">
      <c r="A260" s="128" t="s">
        <v>6</v>
      </c>
      <c r="B260" s="111">
        <v>30</v>
      </c>
      <c r="C260" s="105">
        <v>61.2</v>
      </c>
      <c r="D260" s="105">
        <v>2</v>
      </c>
      <c r="E260" s="105">
        <v>0.3</v>
      </c>
      <c r="F260" s="105">
        <v>12.7</v>
      </c>
      <c r="G260" s="105">
        <v>61.2</v>
      </c>
      <c r="H260" s="106"/>
      <c r="I260" s="106" t="s">
        <v>160</v>
      </c>
    </row>
    <row r="261" spans="1:9" s="110" customFormat="1" ht="14.25">
      <c r="A261" s="129" t="s">
        <v>7</v>
      </c>
      <c r="B261" s="112">
        <f>SUM(B254:B260)</f>
        <v>920</v>
      </c>
      <c r="C261" s="108">
        <f t="shared" ref="C261" si="53">SUM(C254:C260)</f>
        <v>943.12272727272727</v>
      </c>
      <c r="D261" s="108">
        <f t="shared" ref="D261:G261" si="54">SUM(D254:D260)</f>
        <v>29.875381818181818</v>
      </c>
      <c r="E261" s="108">
        <f t="shared" si="54"/>
        <v>28.740145454545456</v>
      </c>
      <c r="F261" s="108">
        <f t="shared" si="54"/>
        <v>128.3879818181818</v>
      </c>
      <c r="G261" s="108">
        <f t="shared" si="54"/>
        <v>943.12272727272727</v>
      </c>
      <c r="H261" s="109"/>
      <c r="I261" s="109"/>
    </row>
    <row r="262" spans="1:9">
      <c r="A262" s="214" t="s">
        <v>164</v>
      </c>
      <c r="B262" s="215"/>
      <c r="C262" s="215"/>
      <c r="D262" s="215"/>
      <c r="E262" s="215"/>
      <c r="F262" s="215"/>
      <c r="G262" s="215"/>
      <c r="H262" s="215"/>
      <c r="I262" s="216"/>
    </row>
    <row r="263" spans="1:9" ht="13.9" customHeight="1">
      <c r="A263" s="128" t="s">
        <v>58</v>
      </c>
      <c r="B263" s="103">
        <v>200</v>
      </c>
      <c r="C263" s="104">
        <f>161.4*200/180</f>
        <v>179.33333333333334</v>
      </c>
      <c r="D263" s="104">
        <f>6.5*200/180</f>
        <v>7.2222222222222223</v>
      </c>
      <c r="E263" s="104">
        <f>8.8*200/180</f>
        <v>9.7777777777777786</v>
      </c>
      <c r="F263" s="104">
        <f>12.1*200/180</f>
        <v>13.444444444444445</v>
      </c>
      <c r="G263" s="104">
        <f>161.4*200/180</f>
        <v>179.33333333333334</v>
      </c>
      <c r="H263" s="106" t="s">
        <v>185</v>
      </c>
      <c r="I263" s="106" t="s">
        <v>204</v>
      </c>
    </row>
    <row r="264" spans="1:9">
      <c r="A264" s="128" t="s">
        <v>59</v>
      </c>
      <c r="B264" s="103">
        <v>180</v>
      </c>
      <c r="C264" s="74">
        <f>146.6*180/200</f>
        <v>131.94</v>
      </c>
      <c r="D264" s="74">
        <f>0.3*180/200</f>
        <v>0.27</v>
      </c>
      <c r="E264" s="74">
        <v>0</v>
      </c>
      <c r="F264" s="74">
        <f>36.2*180/200</f>
        <v>32.580000000000005</v>
      </c>
      <c r="G264" s="74">
        <f>146.6*180/200</f>
        <v>131.94</v>
      </c>
      <c r="H264" s="106" t="s">
        <v>131</v>
      </c>
      <c r="I264" s="106" t="s">
        <v>159</v>
      </c>
    </row>
    <row r="265" spans="1:9">
      <c r="A265" s="128" t="s">
        <v>5</v>
      </c>
      <c r="B265" s="103">
        <v>20</v>
      </c>
      <c r="C265" s="104">
        <v>47.4</v>
      </c>
      <c r="D265" s="104">
        <v>1.5</v>
      </c>
      <c r="E265" s="104">
        <v>0.1</v>
      </c>
      <c r="F265" s="104">
        <v>10</v>
      </c>
      <c r="G265" s="104">
        <v>47.4</v>
      </c>
      <c r="H265" s="106"/>
      <c r="I265" s="106" t="s">
        <v>160</v>
      </c>
    </row>
    <row r="266" spans="1:9">
      <c r="A266" s="128" t="s">
        <v>6</v>
      </c>
      <c r="B266" s="103">
        <v>20</v>
      </c>
      <c r="C266" s="105">
        <v>40.799999999999997</v>
      </c>
      <c r="D266" s="105">
        <v>1.3</v>
      </c>
      <c r="E266" s="105">
        <v>0.2</v>
      </c>
      <c r="F266" s="105">
        <v>8.5</v>
      </c>
      <c r="G266" s="105">
        <v>40.799999999999997</v>
      </c>
      <c r="H266" s="106"/>
      <c r="I266" s="106" t="s">
        <v>160</v>
      </c>
    </row>
    <row r="267" spans="1:9" ht="13.9" hidden="1" customHeight="1">
      <c r="A267" s="128"/>
      <c r="B267" s="103"/>
      <c r="C267" s="105"/>
      <c r="D267" s="105"/>
      <c r="E267" s="105"/>
      <c r="F267" s="105"/>
      <c r="G267" s="105"/>
      <c r="H267" s="106"/>
      <c r="I267" s="106"/>
    </row>
    <row r="268" spans="1:9" s="110" customFormat="1" ht="14.25">
      <c r="A268" s="129" t="s">
        <v>7</v>
      </c>
      <c r="B268" s="114">
        <f>SUM(B263:B267)</f>
        <v>420</v>
      </c>
      <c r="C268" s="108">
        <f t="shared" ref="C268" si="55">SUM(C263:C267)</f>
        <v>399.4733333333333</v>
      </c>
      <c r="D268" s="108">
        <f t="shared" ref="D268:G268" si="56">SUM(D263:D267)</f>
        <v>10.292222222222223</v>
      </c>
      <c r="E268" s="108">
        <f t="shared" si="56"/>
        <v>10.077777777777778</v>
      </c>
      <c r="F268" s="108">
        <f t="shared" si="56"/>
        <v>64.524444444444441</v>
      </c>
      <c r="G268" s="108">
        <f t="shared" si="56"/>
        <v>399.4733333333333</v>
      </c>
      <c r="H268" s="109"/>
      <c r="I268" s="109"/>
    </row>
    <row r="269" spans="1:9">
      <c r="A269" s="200" t="s">
        <v>197</v>
      </c>
      <c r="B269" s="200"/>
      <c r="C269" s="200"/>
      <c r="D269" s="200"/>
      <c r="E269" s="200"/>
      <c r="F269" s="200"/>
      <c r="G269" s="200"/>
      <c r="H269" s="200"/>
      <c r="I269" s="200"/>
    </row>
    <row r="270" spans="1:9">
      <c r="A270" s="217" t="s">
        <v>223</v>
      </c>
      <c r="B270" s="217"/>
      <c r="C270" s="217"/>
      <c r="D270" s="217"/>
      <c r="E270" s="217"/>
      <c r="F270" s="217"/>
      <c r="G270" s="217"/>
      <c r="H270" s="217"/>
      <c r="I270" s="217"/>
    </row>
    <row r="271" spans="1:9" ht="13.9" customHeight="1">
      <c r="A271" s="208" t="s">
        <v>0</v>
      </c>
      <c r="B271" s="203" t="s">
        <v>1</v>
      </c>
      <c r="C271" s="201" t="s">
        <v>2</v>
      </c>
      <c r="D271" s="218" t="s">
        <v>88</v>
      </c>
      <c r="E271" s="219"/>
      <c r="F271" s="220"/>
      <c r="G271" s="201" t="s">
        <v>2</v>
      </c>
      <c r="H271" s="203" t="s">
        <v>100</v>
      </c>
      <c r="I271" s="203" t="s">
        <v>156</v>
      </c>
    </row>
    <row r="272" spans="1:9" ht="30">
      <c r="A272" s="209"/>
      <c r="B272" s="204"/>
      <c r="C272" s="202"/>
      <c r="D272" s="102" t="s">
        <v>89</v>
      </c>
      <c r="E272" s="102" t="s">
        <v>90</v>
      </c>
      <c r="F272" s="102" t="s">
        <v>91</v>
      </c>
      <c r="G272" s="202"/>
      <c r="H272" s="204"/>
      <c r="I272" s="204"/>
    </row>
    <row r="273" spans="1:9">
      <c r="A273" s="214" t="s">
        <v>157</v>
      </c>
      <c r="B273" s="215"/>
      <c r="C273" s="215"/>
      <c r="D273" s="215"/>
      <c r="E273" s="215"/>
      <c r="F273" s="215"/>
      <c r="G273" s="215"/>
      <c r="H273" s="215"/>
      <c r="I273" s="216"/>
    </row>
    <row r="274" spans="1:9" ht="13.9" customHeight="1">
      <c r="A274" s="128" t="s">
        <v>37</v>
      </c>
      <c r="B274" s="103">
        <v>100</v>
      </c>
      <c r="C274" s="104">
        <f>1340*0.1</f>
        <v>134</v>
      </c>
      <c r="D274" s="104">
        <f>18.52*0.1</f>
        <v>1.8520000000000001</v>
      </c>
      <c r="E274" s="104">
        <f>60.42*0.1</f>
        <v>6.0420000000000007</v>
      </c>
      <c r="F274" s="104">
        <f>180.63*0.1</f>
        <v>18.062999999999999</v>
      </c>
      <c r="G274" s="104">
        <f>1340*0.1</f>
        <v>134</v>
      </c>
      <c r="H274" s="106" t="s">
        <v>126</v>
      </c>
      <c r="I274" s="106" t="s">
        <v>159</v>
      </c>
    </row>
    <row r="275" spans="1:9">
      <c r="A275" s="128" t="s">
        <v>224</v>
      </c>
      <c r="B275" s="103">
        <v>200</v>
      </c>
      <c r="C275" s="74">
        <f>654*0.16</f>
        <v>104.64</v>
      </c>
      <c r="D275" s="74">
        <f>22.33*0.16</f>
        <v>3.5728</v>
      </c>
      <c r="E275" s="74">
        <f>26.53*0.16</f>
        <v>4.2448000000000006</v>
      </c>
      <c r="F275" s="74">
        <f>68.08*0.16</f>
        <v>10.892799999999999</v>
      </c>
      <c r="G275" s="74">
        <f>654*0.16</f>
        <v>104.64</v>
      </c>
      <c r="H275" s="2">
        <v>124</v>
      </c>
      <c r="I275" s="106">
        <v>2017</v>
      </c>
    </row>
    <row r="276" spans="1:9">
      <c r="A276" s="128" t="s">
        <v>86</v>
      </c>
      <c r="B276" s="103">
        <v>45</v>
      </c>
      <c r="C276" s="74">
        <f>138*45/40</f>
        <v>155.25</v>
      </c>
      <c r="D276" s="74">
        <v>2.6549999999999998</v>
      </c>
      <c r="E276" s="74">
        <f>7.49*45/40</f>
        <v>8.4262499999999996</v>
      </c>
      <c r="F276" s="74">
        <f>14.89*45/40</f>
        <v>16.751250000000002</v>
      </c>
      <c r="G276" s="74">
        <f>138*45/40</f>
        <v>155.25</v>
      </c>
      <c r="H276" s="2">
        <v>1</v>
      </c>
      <c r="I276" s="106" t="s">
        <v>159</v>
      </c>
    </row>
    <row r="277" spans="1:9">
      <c r="A277" s="128" t="s">
        <v>225</v>
      </c>
      <c r="B277" s="103">
        <v>200</v>
      </c>
      <c r="C277" s="74">
        <v>83.4</v>
      </c>
      <c r="D277" s="74">
        <f>5*0.2</f>
        <v>1</v>
      </c>
      <c r="E277" s="74">
        <v>0.2</v>
      </c>
      <c r="F277" s="74">
        <v>19.600000000000001</v>
      </c>
      <c r="G277" s="74">
        <v>83.4</v>
      </c>
      <c r="H277" s="2" t="s">
        <v>107</v>
      </c>
      <c r="I277" s="106" t="s">
        <v>159</v>
      </c>
    </row>
    <row r="278" spans="1:9">
      <c r="A278" s="128" t="s">
        <v>5</v>
      </c>
      <c r="B278" s="103">
        <v>20</v>
      </c>
      <c r="C278" s="105">
        <v>47.4</v>
      </c>
      <c r="D278" s="105">
        <v>1.5</v>
      </c>
      <c r="E278" s="105">
        <v>0.1</v>
      </c>
      <c r="F278" s="105">
        <v>10</v>
      </c>
      <c r="G278" s="105">
        <v>47.4</v>
      </c>
      <c r="H278" s="106"/>
      <c r="I278" s="106" t="s">
        <v>160</v>
      </c>
    </row>
    <row r="279" spans="1:9">
      <c r="A279" s="128" t="s">
        <v>6</v>
      </c>
      <c r="B279" s="103">
        <v>20</v>
      </c>
      <c r="C279" s="105">
        <v>40.799999999999997</v>
      </c>
      <c r="D279" s="105">
        <v>1.3</v>
      </c>
      <c r="E279" s="105">
        <v>0.2</v>
      </c>
      <c r="F279" s="105">
        <v>8.5</v>
      </c>
      <c r="G279" s="105">
        <v>40.799999999999997</v>
      </c>
      <c r="H279" s="106"/>
      <c r="I279" s="106" t="s">
        <v>160</v>
      </c>
    </row>
    <row r="280" spans="1:9" s="110" customFormat="1" ht="14.25">
      <c r="A280" s="129" t="s">
        <v>7</v>
      </c>
      <c r="B280" s="114">
        <f>SUM(B274:B279)</f>
        <v>585</v>
      </c>
      <c r="C280" s="108">
        <f t="shared" ref="C280" si="57">SUM(C274:C279)</f>
        <v>565.4899999999999</v>
      </c>
      <c r="D280" s="108">
        <f t="shared" ref="D280:G280" si="58">SUM(D274:D279)</f>
        <v>11.879800000000001</v>
      </c>
      <c r="E280" s="108">
        <f t="shared" si="58"/>
        <v>19.213050000000003</v>
      </c>
      <c r="F280" s="108">
        <f t="shared" si="58"/>
        <v>83.807050000000004</v>
      </c>
      <c r="G280" s="108">
        <f t="shared" si="58"/>
        <v>565.4899999999999</v>
      </c>
      <c r="H280" s="109"/>
      <c r="I280" s="109"/>
    </row>
    <row r="281" spans="1:9">
      <c r="A281" s="214" t="s">
        <v>161</v>
      </c>
      <c r="B281" s="215"/>
      <c r="C281" s="215"/>
      <c r="D281" s="215"/>
      <c r="E281" s="215"/>
      <c r="F281" s="215"/>
      <c r="G281" s="215"/>
      <c r="H281" s="215"/>
      <c r="I281" s="216"/>
    </row>
    <row r="282" spans="1:9">
      <c r="A282" s="128" t="s">
        <v>8</v>
      </c>
      <c r="B282" s="103">
        <v>100</v>
      </c>
      <c r="C282" s="104">
        <f>1338*0.1</f>
        <v>133.80000000000001</v>
      </c>
      <c r="D282" s="104">
        <f>27.31*0.1</f>
        <v>2.7309999999999999</v>
      </c>
      <c r="E282" s="104">
        <f>1.87*0.1</f>
        <v>0.18700000000000003</v>
      </c>
      <c r="F282" s="104">
        <f>145.45*0.1</f>
        <v>14.545</v>
      </c>
      <c r="G282" s="104">
        <f>1338*0.1</f>
        <v>133.80000000000001</v>
      </c>
      <c r="H282" s="106" t="s">
        <v>104</v>
      </c>
      <c r="I282" s="106" t="s">
        <v>159</v>
      </c>
    </row>
    <row r="283" spans="1:9">
      <c r="A283" s="128" t="s">
        <v>9</v>
      </c>
      <c r="B283" s="103">
        <v>250</v>
      </c>
      <c r="C283" s="104">
        <f>415*0.25</f>
        <v>103.75</v>
      </c>
      <c r="D283" s="104">
        <f>7.21*0.25</f>
        <v>1.8025</v>
      </c>
      <c r="E283" s="104">
        <f>19.68*0.25</f>
        <v>4.92</v>
      </c>
      <c r="F283" s="104">
        <f>43.73*0.25</f>
        <v>10.932499999999999</v>
      </c>
      <c r="G283" s="104">
        <f>415*0.25</f>
        <v>103.75</v>
      </c>
      <c r="H283" s="106" t="s">
        <v>105</v>
      </c>
      <c r="I283" s="106">
        <v>2017</v>
      </c>
    </row>
    <row r="284" spans="1:9">
      <c r="A284" s="128" t="s">
        <v>39</v>
      </c>
      <c r="B284" s="103">
        <v>180</v>
      </c>
      <c r="C284" s="104">
        <f>915*0.18</f>
        <v>164.7</v>
      </c>
      <c r="D284" s="104">
        <f>20.43*0.18</f>
        <v>3.6774</v>
      </c>
      <c r="E284" s="104">
        <f>32.01*0.18</f>
        <v>5.7617999999999991</v>
      </c>
      <c r="F284" s="104">
        <f>136.26*0.18</f>
        <v>24.526799999999998</v>
      </c>
      <c r="G284" s="104">
        <f>915*0.18</f>
        <v>164.7</v>
      </c>
      <c r="H284" s="106" t="s">
        <v>226</v>
      </c>
      <c r="I284" s="106" t="s">
        <v>159</v>
      </c>
    </row>
    <row r="285" spans="1:9">
      <c r="A285" s="128" t="s">
        <v>60</v>
      </c>
      <c r="B285" s="103">
        <v>120</v>
      </c>
      <c r="C285" s="74">
        <f>185*120/100</f>
        <v>222</v>
      </c>
      <c r="D285" s="74">
        <f>13.26*120/100</f>
        <v>15.912000000000001</v>
      </c>
      <c r="E285" s="74">
        <f>11.23*120/100</f>
        <v>13.476000000000001</v>
      </c>
      <c r="F285" s="74">
        <f>2.18*120/100</f>
        <v>2.6160000000000001</v>
      </c>
      <c r="G285" s="74">
        <f>185*120/100</f>
        <v>222</v>
      </c>
      <c r="H285" s="106" t="s">
        <v>148</v>
      </c>
      <c r="I285" s="106" t="s">
        <v>159</v>
      </c>
    </row>
    <row r="286" spans="1:9">
      <c r="A286" s="128" t="s">
        <v>61</v>
      </c>
      <c r="B286" s="103">
        <v>180</v>
      </c>
      <c r="C286" s="74">
        <f>154.6*180/200</f>
        <v>139.13999999999999</v>
      </c>
      <c r="D286" s="74">
        <f>0.89*180/200</f>
        <v>0.80099999999999993</v>
      </c>
      <c r="E286" s="74">
        <f>0.06*180/200</f>
        <v>5.3999999999999992E-2</v>
      </c>
      <c r="F286" s="74">
        <f>32.75*180/200</f>
        <v>29.475000000000001</v>
      </c>
      <c r="G286" s="74">
        <f>154.6*180/200</f>
        <v>139.13999999999999</v>
      </c>
      <c r="H286" s="106" t="s">
        <v>227</v>
      </c>
      <c r="I286" s="106" t="s">
        <v>159</v>
      </c>
    </row>
    <row r="287" spans="1:9">
      <c r="A287" s="128" t="s">
        <v>72</v>
      </c>
      <c r="B287" s="103">
        <v>100</v>
      </c>
      <c r="C287" s="74">
        <v>56.4</v>
      </c>
      <c r="D287" s="74">
        <v>0.5</v>
      </c>
      <c r="E287" s="74">
        <v>0.5</v>
      </c>
      <c r="F287" s="74">
        <v>11.8</v>
      </c>
      <c r="G287" s="74">
        <v>56.4</v>
      </c>
      <c r="H287" s="106" t="s">
        <v>103</v>
      </c>
      <c r="I287" s="106" t="s">
        <v>159</v>
      </c>
    </row>
    <row r="288" spans="1:9">
      <c r="A288" s="128" t="s">
        <v>5</v>
      </c>
      <c r="B288" s="103">
        <v>50</v>
      </c>
      <c r="C288" s="105">
        <v>118.4</v>
      </c>
      <c r="D288" s="105">
        <v>3.8</v>
      </c>
      <c r="E288" s="105">
        <v>0.3</v>
      </c>
      <c r="F288" s="105">
        <v>25.1</v>
      </c>
      <c r="G288" s="105">
        <v>118.4</v>
      </c>
      <c r="H288" s="106"/>
      <c r="I288" s="106" t="s">
        <v>160</v>
      </c>
    </row>
    <row r="289" spans="1:9">
      <c r="A289" s="128" t="s">
        <v>6</v>
      </c>
      <c r="B289" s="103">
        <v>30</v>
      </c>
      <c r="C289" s="105">
        <v>61.2</v>
      </c>
      <c r="D289" s="105">
        <v>2</v>
      </c>
      <c r="E289" s="105">
        <v>0.3</v>
      </c>
      <c r="F289" s="105">
        <v>12.7</v>
      </c>
      <c r="G289" s="105">
        <v>61.2</v>
      </c>
      <c r="H289" s="106"/>
      <c r="I289" s="106" t="s">
        <v>160</v>
      </c>
    </row>
    <row r="290" spans="1:9" s="110" customFormat="1" ht="14.25">
      <c r="A290" s="129" t="s">
        <v>7</v>
      </c>
      <c r="B290" s="112">
        <f>SUM(B282:B289)</f>
        <v>1010</v>
      </c>
      <c r="C290" s="108">
        <f t="shared" ref="C290" si="59">SUM(C282:C289)</f>
        <v>999.39</v>
      </c>
      <c r="D290" s="108">
        <f t="shared" ref="D290:G290" si="60">SUM(D282:D289)</f>
        <v>31.2239</v>
      </c>
      <c r="E290" s="108">
        <f t="shared" si="60"/>
        <v>25.498799999999999</v>
      </c>
      <c r="F290" s="108">
        <f t="shared" si="60"/>
        <v>131.6953</v>
      </c>
      <c r="G290" s="108">
        <f t="shared" si="60"/>
        <v>999.39</v>
      </c>
      <c r="H290" s="109"/>
      <c r="I290" s="109"/>
    </row>
    <row r="291" spans="1:9">
      <c r="A291" s="214" t="s">
        <v>164</v>
      </c>
      <c r="B291" s="215"/>
      <c r="C291" s="215"/>
      <c r="D291" s="215"/>
      <c r="E291" s="215"/>
      <c r="F291" s="215"/>
      <c r="G291" s="215"/>
      <c r="H291" s="215"/>
      <c r="I291" s="216"/>
    </row>
    <row r="292" spans="1:9">
      <c r="A292" s="128" t="s">
        <v>62</v>
      </c>
      <c r="B292" s="103">
        <v>200</v>
      </c>
      <c r="C292" s="104">
        <f>221.3*200/150</f>
        <v>295.06666666666666</v>
      </c>
      <c r="D292" s="104">
        <f>6.1*200/150</f>
        <v>8.1333333333333329</v>
      </c>
      <c r="E292" s="104">
        <f>10.1*200/150</f>
        <v>13.466666666666667</v>
      </c>
      <c r="F292" s="104">
        <f>24.8*200/150</f>
        <v>33.06666666666667</v>
      </c>
      <c r="G292" s="104">
        <f>221.3*200/150</f>
        <v>295.06666666666666</v>
      </c>
      <c r="H292" s="106" t="s">
        <v>150</v>
      </c>
      <c r="I292" s="106" t="s">
        <v>204</v>
      </c>
    </row>
    <row r="293" spans="1:9">
      <c r="A293" s="128" t="s">
        <v>5</v>
      </c>
      <c r="B293" s="103">
        <v>20</v>
      </c>
      <c r="C293" s="105">
        <v>47.4</v>
      </c>
      <c r="D293" s="105">
        <v>1.5</v>
      </c>
      <c r="E293" s="105">
        <v>0.1</v>
      </c>
      <c r="F293" s="105">
        <v>10</v>
      </c>
      <c r="G293" s="105">
        <v>47.4</v>
      </c>
      <c r="H293" s="106"/>
      <c r="I293" s="106" t="s">
        <v>160</v>
      </c>
    </row>
    <row r="294" spans="1:9">
      <c r="A294" s="128" t="s">
        <v>41</v>
      </c>
      <c r="B294" s="103">
        <v>180</v>
      </c>
      <c r="C294" s="113">
        <f>503*0.2</f>
        <v>100.60000000000001</v>
      </c>
      <c r="D294" s="113">
        <f>15.83*0.2</f>
        <v>3.1660000000000004</v>
      </c>
      <c r="E294" s="113">
        <f>13.39*0.2</f>
        <v>2.6780000000000004</v>
      </c>
      <c r="F294" s="113">
        <f>79.73*0.2</f>
        <v>15.946000000000002</v>
      </c>
      <c r="G294" s="113">
        <f>503*0.2</f>
        <v>100.60000000000001</v>
      </c>
      <c r="H294" s="106" t="s">
        <v>228</v>
      </c>
      <c r="I294" s="106" t="s">
        <v>159</v>
      </c>
    </row>
    <row r="295" spans="1:9" s="110" customFormat="1" ht="14.25">
      <c r="A295" s="129" t="s">
        <v>7</v>
      </c>
      <c r="B295" s="114">
        <f>B292+B294</f>
        <v>380</v>
      </c>
      <c r="C295" s="108">
        <f t="shared" ref="C295" si="61">C292+C294</f>
        <v>395.66666666666669</v>
      </c>
      <c r="D295" s="108">
        <f>D292+D294</f>
        <v>11.299333333333333</v>
      </c>
      <c r="E295" s="108">
        <f t="shared" ref="E295:G295" si="62">E292+E294</f>
        <v>16.144666666666666</v>
      </c>
      <c r="F295" s="108">
        <f t="shared" si="62"/>
        <v>49.012666666666675</v>
      </c>
      <c r="G295" s="108">
        <f t="shared" si="62"/>
        <v>395.66666666666669</v>
      </c>
      <c r="H295" s="109"/>
      <c r="I295" s="109"/>
    </row>
    <row r="296" spans="1:9" s="110" customFormat="1" ht="14.25">
      <c r="A296" s="205" t="s">
        <v>92</v>
      </c>
      <c r="B296" s="206"/>
      <c r="C296" s="115">
        <f>C295+C290+C280</f>
        <v>1960.5466666666666</v>
      </c>
      <c r="D296" s="115">
        <f>D295+D290+D280</f>
        <v>54.40303333333334</v>
      </c>
      <c r="E296" s="115">
        <f>E295+E290+E280</f>
        <v>60.856516666666671</v>
      </c>
      <c r="F296" s="115">
        <f>F295+F290+F280</f>
        <v>264.51501666666667</v>
      </c>
      <c r="G296" s="115">
        <f>G295+G290+G280</f>
        <v>1960.5466666666666</v>
      </c>
      <c r="H296" s="109"/>
      <c r="I296" s="109"/>
    </row>
    <row r="297" spans="1:9">
      <c r="A297" s="200" t="s">
        <v>229</v>
      </c>
      <c r="B297" s="200"/>
      <c r="C297" s="200"/>
      <c r="D297" s="200"/>
      <c r="E297" s="200"/>
      <c r="F297" s="200"/>
      <c r="G297" s="200"/>
      <c r="H297" s="200"/>
      <c r="I297" s="200"/>
    </row>
    <row r="298" spans="1:9">
      <c r="A298" s="217" t="s">
        <v>230</v>
      </c>
      <c r="B298" s="217"/>
      <c r="C298" s="217"/>
      <c r="D298" s="217"/>
      <c r="E298" s="217"/>
      <c r="F298" s="217"/>
      <c r="G298" s="217"/>
      <c r="H298" s="217"/>
      <c r="I298" s="217"/>
    </row>
    <row r="299" spans="1:9" ht="13.9" customHeight="1">
      <c r="A299" s="208" t="s">
        <v>0</v>
      </c>
      <c r="B299" s="203" t="s">
        <v>1</v>
      </c>
      <c r="C299" s="201" t="s">
        <v>2</v>
      </c>
      <c r="D299" s="218" t="s">
        <v>88</v>
      </c>
      <c r="E299" s="219"/>
      <c r="F299" s="220"/>
      <c r="G299" s="201" t="s">
        <v>2</v>
      </c>
      <c r="H299" s="203" t="s">
        <v>100</v>
      </c>
      <c r="I299" s="203" t="s">
        <v>156</v>
      </c>
    </row>
    <row r="300" spans="1:9" ht="30">
      <c r="A300" s="209"/>
      <c r="B300" s="204"/>
      <c r="C300" s="202"/>
      <c r="D300" s="102" t="s">
        <v>89</v>
      </c>
      <c r="E300" s="102" t="s">
        <v>90</v>
      </c>
      <c r="F300" s="102" t="s">
        <v>91</v>
      </c>
      <c r="G300" s="202"/>
      <c r="H300" s="204"/>
      <c r="I300" s="204"/>
    </row>
    <row r="301" spans="1:9">
      <c r="A301" s="214" t="s">
        <v>157</v>
      </c>
      <c r="B301" s="215"/>
      <c r="C301" s="215"/>
      <c r="D301" s="215"/>
      <c r="E301" s="215"/>
      <c r="F301" s="215"/>
      <c r="G301" s="215"/>
      <c r="H301" s="215"/>
      <c r="I301" s="216"/>
    </row>
    <row r="302" spans="1:9" ht="30">
      <c r="A302" s="128" t="s">
        <v>231</v>
      </c>
      <c r="B302" s="103">
        <v>100</v>
      </c>
      <c r="C302" s="105">
        <v>82.5</v>
      </c>
      <c r="D302" s="105">
        <v>0.8</v>
      </c>
      <c r="E302" s="105">
        <v>5.2</v>
      </c>
      <c r="F302" s="105">
        <v>7.6</v>
      </c>
      <c r="G302" s="105">
        <v>82.5</v>
      </c>
      <c r="H302" s="106" t="s">
        <v>232</v>
      </c>
      <c r="I302" s="106">
        <v>2022</v>
      </c>
    </row>
    <row r="303" spans="1:9" ht="30">
      <c r="A303" s="128" t="s">
        <v>233</v>
      </c>
      <c r="B303" s="103">
        <v>200</v>
      </c>
      <c r="C303" s="105">
        <v>416.2</v>
      </c>
      <c r="D303" s="105">
        <v>15.1</v>
      </c>
      <c r="E303" s="105">
        <v>26.2</v>
      </c>
      <c r="F303" s="105">
        <v>28.4</v>
      </c>
      <c r="G303" s="105">
        <v>416.2</v>
      </c>
      <c r="H303" s="106" t="s">
        <v>234</v>
      </c>
      <c r="I303" s="106">
        <v>2022</v>
      </c>
    </row>
    <row r="304" spans="1:9">
      <c r="A304" s="128" t="s">
        <v>235</v>
      </c>
      <c r="B304" s="103">
        <v>200</v>
      </c>
      <c r="C304" s="105">
        <f>441*0.2</f>
        <v>88.2</v>
      </c>
      <c r="D304" s="105">
        <f>3.39*0.2</f>
        <v>0.67800000000000005</v>
      </c>
      <c r="E304" s="105">
        <f>1.39*0.2</f>
        <v>0.27799999999999997</v>
      </c>
      <c r="F304" s="105">
        <f>103.8*0.2</f>
        <v>20.76</v>
      </c>
      <c r="G304" s="105">
        <f>441*0.2</f>
        <v>88.2</v>
      </c>
      <c r="H304" s="106" t="s">
        <v>236</v>
      </c>
      <c r="I304" s="106" t="s">
        <v>176</v>
      </c>
    </row>
    <row r="305" spans="1:9">
      <c r="A305" s="128" t="s">
        <v>5</v>
      </c>
      <c r="B305" s="103">
        <v>30</v>
      </c>
      <c r="C305" s="105">
        <f>47.4*30/20</f>
        <v>71.099999999999994</v>
      </c>
      <c r="D305" s="105">
        <f>1.5*30/20</f>
        <v>2.25</v>
      </c>
      <c r="E305" s="105">
        <f>0.1*30/20</f>
        <v>0.15</v>
      </c>
      <c r="F305" s="105">
        <f>10*30/20</f>
        <v>15</v>
      </c>
      <c r="G305" s="105">
        <f>47.4*30/20</f>
        <v>71.099999999999994</v>
      </c>
      <c r="H305" s="106"/>
      <c r="I305" s="106" t="s">
        <v>237</v>
      </c>
    </row>
    <row r="306" spans="1:9">
      <c r="A306" s="128" t="s">
        <v>6</v>
      </c>
      <c r="B306" s="103">
        <v>20</v>
      </c>
      <c r="C306" s="105">
        <v>40.799999999999997</v>
      </c>
      <c r="D306" s="105">
        <v>1.3</v>
      </c>
      <c r="E306" s="105">
        <v>0.2</v>
      </c>
      <c r="F306" s="105">
        <v>8.5</v>
      </c>
      <c r="G306" s="105">
        <v>40.799999999999997</v>
      </c>
      <c r="H306" s="106"/>
      <c r="I306" s="106" t="s">
        <v>237</v>
      </c>
    </row>
    <row r="307" spans="1:9" s="110" customFormat="1" ht="14.25">
      <c r="A307" s="129" t="s">
        <v>7</v>
      </c>
      <c r="B307" s="114">
        <f>SUM(B302:B306)</f>
        <v>550</v>
      </c>
      <c r="C307" s="108">
        <f t="shared" ref="C307" si="63">SUM(C302:C306)</f>
        <v>698.8</v>
      </c>
      <c r="D307" s="108">
        <f t="shared" ref="D307:G307" si="64">SUM(D302:D306)</f>
        <v>20.128</v>
      </c>
      <c r="E307" s="108">
        <f t="shared" si="64"/>
        <v>32.027999999999999</v>
      </c>
      <c r="F307" s="108">
        <f t="shared" si="64"/>
        <v>80.260000000000005</v>
      </c>
      <c r="G307" s="108">
        <f t="shared" si="64"/>
        <v>698.8</v>
      </c>
      <c r="H307" s="109"/>
      <c r="I307" s="109"/>
    </row>
    <row r="308" spans="1:9">
      <c r="A308" s="214" t="s">
        <v>161</v>
      </c>
      <c r="B308" s="215"/>
      <c r="C308" s="215"/>
      <c r="D308" s="215"/>
      <c r="E308" s="215"/>
      <c r="F308" s="215"/>
      <c r="G308" s="215"/>
      <c r="H308" s="215"/>
      <c r="I308" s="216"/>
    </row>
    <row r="309" spans="1:9">
      <c r="A309" s="128" t="s">
        <v>238</v>
      </c>
      <c r="B309" s="111">
        <v>100</v>
      </c>
      <c r="C309" s="105">
        <f>1039*0.1</f>
        <v>103.9</v>
      </c>
      <c r="D309" s="105">
        <f>10.91*0.1</f>
        <v>1.091</v>
      </c>
      <c r="E309" s="105">
        <v>4.08</v>
      </c>
      <c r="F309" s="105">
        <f>112.05*0.1</f>
        <v>11.205</v>
      </c>
      <c r="G309" s="105">
        <f>1039*0.1</f>
        <v>103.9</v>
      </c>
      <c r="H309" s="106" t="s">
        <v>239</v>
      </c>
      <c r="I309" s="106">
        <v>2017</v>
      </c>
    </row>
    <row r="310" spans="1:9">
      <c r="A310" s="128" t="s">
        <v>240</v>
      </c>
      <c r="B310" s="111">
        <v>250</v>
      </c>
      <c r="C310" s="105">
        <f>305*0.25</f>
        <v>76.25</v>
      </c>
      <c r="D310" s="105">
        <f>5.93*0.25</f>
        <v>1.4824999999999999</v>
      </c>
      <c r="E310" s="105">
        <f>19.57*0.25</f>
        <v>4.8925000000000001</v>
      </c>
      <c r="F310" s="105">
        <f>24.36*0.25</f>
        <v>6.09</v>
      </c>
      <c r="G310" s="105">
        <f>305*0.25</f>
        <v>76.25</v>
      </c>
      <c r="H310" s="106" t="s">
        <v>241</v>
      </c>
      <c r="I310" s="106">
        <v>2017</v>
      </c>
    </row>
    <row r="311" spans="1:9">
      <c r="A311" s="128" t="s">
        <v>242</v>
      </c>
      <c r="B311" s="111">
        <v>200</v>
      </c>
      <c r="C311" s="105">
        <f>183*200/70</f>
        <v>522.85714285714289</v>
      </c>
      <c r="D311" s="105">
        <f>7.29*200/70</f>
        <v>20.828571428571429</v>
      </c>
      <c r="E311" s="105">
        <f>6.91*200/70</f>
        <v>19.742857142857144</v>
      </c>
      <c r="F311" s="105">
        <f>22.9*200/70</f>
        <v>65.428571428571431</v>
      </c>
      <c r="G311" s="105">
        <f>183*200/70</f>
        <v>522.85714285714289</v>
      </c>
      <c r="H311" s="106" t="s">
        <v>115</v>
      </c>
      <c r="I311" s="106">
        <v>2017</v>
      </c>
    </row>
    <row r="312" spans="1:9" ht="13.9" hidden="1" customHeight="1">
      <c r="A312" s="128"/>
      <c r="B312" s="111"/>
      <c r="C312" s="105"/>
      <c r="D312" s="105"/>
      <c r="E312" s="105"/>
      <c r="F312" s="105"/>
      <c r="G312" s="105"/>
      <c r="H312" s="106"/>
      <c r="I312" s="106"/>
    </row>
    <row r="313" spans="1:9">
      <c r="A313" s="128" t="s">
        <v>38</v>
      </c>
      <c r="B313" s="111">
        <v>180</v>
      </c>
      <c r="C313" s="105">
        <f>593*0.18</f>
        <v>106.74</v>
      </c>
      <c r="D313" s="105">
        <f>20.39*0.18</f>
        <v>3.6701999999999999</v>
      </c>
      <c r="E313" s="105">
        <f>17.72*0.18</f>
        <v>3.1895999999999995</v>
      </c>
      <c r="F313" s="105">
        <f>87.89*0.18</f>
        <v>15.8202</v>
      </c>
      <c r="G313" s="105">
        <f>593*0.18</f>
        <v>106.74</v>
      </c>
      <c r="H313" s="106" t="s">
        <v>129</v>
      </c>
      <c r="I313" s="106">
        <v>2017</v>
      </c>
    </row>
    <row r="314" spans="1:9">
      <c r="A314" s="128" t="s">
        <v>5</v>
      </c>
      <c r="B314" s="111">
        <v>60</v>
      </c>
      <c r="C314" s="105">
        <f>165.8*60/70</f>
        <v>142.11428571428573</v>
      </c>
      <c r="D314" s="105">
        <f>5.3*60/70</f>
        <v>4.5428571428571427</v>
      </c>
      <c r="E314" s="105">
        <f>0.4*60/70</f>
        <v>0.34285714285714286</v>
      </c>
      <c r="F314" s="105">
        <f>35</f>
        <v>35</v>
      </c>
      <c r="G314" s="105">
        <f>165.8*60/70</f>
        <v>142.11428571428573</v>
      </c>
      <c r="H314" s="106"/>
      <c r="I314" s="106" t="s">
        <v>237</v>
      </c>
    </row>
    <row r="315" spans="1:9">
      <c r="A315" s="128" t="s">
        <v>6</v>
      </c>
      <c r="B315" s="111">
        <v>30</v>
      </c>
      <c r="C315" s="105">
        <v>61.2</v>
      </c>
      <c r="D315" s="105">
        <v>2</v>
      </c>
      <c r="E315" s="105">
        <v>0.3</v>
      </c>
      <c r="F315" s="105" t="s">
        <v>243</v>
      </c>
      <c r="G315" s="105">
        <v>61.2</v>
      </c>
      <c r="H315" s="106"/>
      <c r="I315" s="106" t="s">
        <v>237</v>
      </c>
    </row>
    <row r="316" spans="1:9" s="110" customFormat="1" ht="14.25">
      <c r="A316" s="129" t="s">
        <v>7</v>
      </c>
      <c r="B316" s="112">
        <f>SUM(B309:B315)</f>
        <v>820</v>
      </c>
      <c r="C316" s="108">
        <f t="shared" ref="C316" si="65">SUM(C309:C315)</f>
        <v>1013.0614285714287</v>
      </c>
      <c r="D316" s="108">
        <f t="shared" ref="D316:G316" si="66">SUM(D309:D315)</f>
        <v>33.615128571428571</v>
      </c>
      <c r="E316" s="108">
        <f t="shared" si="66"/>
        <v>32.547814285714281</v>
      </c>
      <c r="F316" s="108">
        <f t="shared" si="66"/>
        <v>133.54377142857143</v>
      </c>
      <c r="G316" s="108">
        <f t="shared" si="66"/>
        <v>1013.0614285714287</v>
      </c>
      <c r="H316" s="109"/>
      <c r="I316" s="109"/>
    </row>
    <row r="317" spans="1:9" s="110" customFormat="1" ht="14.25">
      <c r="A317" s="205" t="s">
        <v>92</v>
      </c>
      <c r="B317" s="206"/>
      <c r="C317" s="115">
        <f>C316+C307</f>
        <v>1711.8614285714286</v>
      </c>
      <c r="D317" s="115">
        <f>D316+D307</f>
        <v>53.743128571428571</v>
      </c>
      <c r="E317" s="115">
        <f>E316+E307</f>
        <v>64.575814285714273</v>
      </c>
      <c r="F317" s="115">
        <f>F316+F307</f>
        <v>213.80377142857145</v>
      </c>
      <c r="G317" s="115">
        <f>G316+G307</f>
        <v>1711.8614285714286</v>
      </c>
      <c r="H317" s="109"/>
      <c r="I317" s="109"/>
    </row>
    <row r="319" spans="1:9">
      <c r="A319" s="200" t="s">
        <v>244</v>
      </c>
      <c r="B319" s="200"/>
      <c r="C319" s="200"/>
      <c r="D319" s="200"/>
      <c r="E319" s="200"/>
      <c r="F319" s="200"/>
      <c r="G319" s="200"/>
      <c r="H319" s="200"/>
      <c r="I319" s="200"/>
    </row>
    <row r="320" spans="1:9">
      <c r="A320" s="207" t="s">
        <v>245</v>
      </c>
      <c r="B320" s="207"/>
      <c r="C320" s="207"/>
      <c r="D320" s="207"/>
      <c r="E320" s="207"/>
      <c r="F320" s="207"/>
      <c r="G320" s="207"/>
    </row>
    <row r="321" spans="1:7">
      <c r="A321" s="200" t="s">
        <v>246</v>
      </c>
      <c r="B321" s="200"/>
      <c r="C321" s="200"/>
      <c r="D321" s="200"/>
      <c r="E321" s="123"/>
      <c r="F321" s="123"/>
      <c r="G321" s="123"/>
    </row>
    <row r="323" spans="1:7" ht="13.9" customHeight="1">
      <c r="A323" s="208" t="s">
        <v>94</v>
      </c>
      <c r="B323" s="210"/>
      <c r="C323" s="123"/>
      <c r="D323" s="212"/>
      <c r="E323" s="213"/>
      <c r="F323" s="213"/>
      <c r="G323" s="213"/>
    </row>
    <row r="324" spans="1:7" ht="13.9" customHeight="1">
      <c r="A324" s="209"/>
      <c r="B324" s="211"/>
      <c r="C324" s="124"/>
      <c r="D324" s="124"/>
      <c r="E324" s="124"/>
      <c r="F324" s="124"/>
      <c r="G324" s="124"/>
    </row>
    <row r="325" spans="1:7">
      <c r="A325" s="128" t="s">
        <v>95</v>
      </c>
      <c r="B325" s="132"/>
      <c r="C325" s="125"/>
      <c r="D325" s="125"/>
      <c r="E325" s="125"/>
      <c r="F325" s="125"/>
      <c r="G325" s="125"/>
    </row>
    <row r="326" spans="1:7">
      <c r="A326" s="128" t="s">
        <v>96</v>
      </c>
      <c r="B326" s="132"/>
      <c r="C326" s="125"/>
      <c r="D326" s="125"/>
      <c r="E326" s="125"/>
      <c r="F326" s="125"/>
      <c r="G326" s="125"/>
    </row>
    <row r="327" spans="1:7" ht="13.9" customHeight="1">
      <c r="A327" s="133" t="s">
        <v>97</v>
      </c>
      <c r="B327" s="134"/>
      <c r="C327" s="126"/>
      <c r="D327" s="126"/>
      <c r="E327" s="126"/>
      <c r="F327" s="126"/>
      <c r="G327" s="126"/>
    </row>
    <row r="328" spans="1:7">
      <c r="A328" s="200" t="s">
        <v>247</v>
      </c>
      <c r="B328" s="200"/>
      <c r="C328" s="200"/>
      <c r="D328" s="200"/>
      <c r="E328" s="200"/>
      <c r="F328" s="200"/>
      <c r="G328" s="200"/>
    </row>
    <row r="329" spans="1:7" ht="13.9" customHeight="1">
      <c r="A329" s="203" t="s">
        <v>98</v>
      </c>
      <c r="B329" s="200"/>
      <c r="C329" s="200"/>
      <c r="D329" s="200"/>
      <c r="E329" s="200"/>
      <c r="F329" s="200"/>
      <c r="G329" s="200"/>
    </row>
    <row r="330" spans="1:7">
      <c r="A330" s="204"/>
    </row>
    <row r="331" spans="1:7">
      <c r="A331" s="127" t="s">
        <v>99</v>
      </c>
    </row>
    <row r="332" spans="1:7">
      <c r="A332" s="200"/>
      <c r="B332" s="200"/>
      <c r="C332" s="200"/>
      <c r="D332" s="200"/>
      <c r="E332" s="200"/>
      <c r="F332" s="200"/>
      <c r="G332" s="200"/>
    </row>
    <row r="334" spans="1:7">
      <c r="A334" s="78" t="s">
        <v>74</v>
      </c>
    </row>
    <row r="335" spans="1:7">
      <c r="A335" s="78" t="s">
        <v>75</v>
      </c>
    </row>
  </sheetData>
  <mergeCells count="166">
    <mergeCell ref="A24:I24"/>
    <mergeCell ref="A15:I15"/>
    <mergeCell ref="H5:H6"/>
    <mergeCell ref="I5:I6"/>
    <mergeCell ref="A7:I7"/>
    <mergeCell ref="A1:E1"/>
    <mergeCell ref="H1:J1"/>
    <mergeCell ref="H2:J2"/>
    <mergeCell ref="A3:I3"/>
    <mergeCell ref="A4:I4"/>
    <mergeCell ref="A5:A6"/>
    <mergeCell ref="B5:B6"/>
    <mergeCell ref="D5:F5"/>
    <mergeCell ref="G5:G6"/>
    <mergeCell ref="A52:I52"/>
    <mergeCell ref="A42:I42"/>
    <mergeCell ref="H32:H33"/>
    <mergeCell ref="I32:I33"/>
    <mergeCell ref="A34:I34"/>
    <mergeCell ref="A29:B29"/>
    <mergeCell ref="A30:I30"/>
    <mergeCell ref="A31:I31"/>
    <mergeCell ref="A32:A33"/>
    <mergeCell ref="B32:B33"/>
    <mergeCell ref="D32:F32"/>
    <mergeCell ref="G32:G33"/>
    <mergeCell ref="A79:I79"/>
    <mergeCell ref="A69:I69"/>
    <mergeCell ref="H60:H61"/>
    <mergeCell ref="I60:I61"/>
    <mergeCell ref="A62:I62"/>
    <mergeCell ref="A57:B57"/>
    <mergeCell ref="A58:I58"/>
    <mergeCell ref="A59:I59"/>
    <mergeCell ref="A60:A61"/>
    <mergeCell ref="B60:B61"/>
    <mergeCell ref="D60:F60"/>
    <mergeCell ref="G60:G61"/>
    <mergeCell ref="A109:B109"/>
    <mergeCell ref="A110:I110"/>
    <mergeCell ref="A104:I104"/>
    <mergeCell ref="A95:I95"/>
    <mergeCell ref="I86:I87"/>
    <mergeCell ref="A88:I88"/>
    <mergeCell ref="A83:B83"/>
    <mergeCell ref="A84:I84"/>
    <mergeCell ref="A85:I85"/>
    <mergeCell ref="A86:A87"/>
    <mergeCell ref="B86:B87"/>
    <mergeCell ref="D86:F86"/>
    <mergeCell ref="G86:G87"/>
    <mergeCell ref="H86:H87"/>
    <mergeCell ref="A135:B135"/>
    <mergeCell ref="A136:I136"/>
    <mergeCell ref="A137:I137"/>
    <mergeCell ref="A129:I129"/>
    <mergeCell ref="A121:I121"/>
    <mergeCell ref="A114:I114"/>
    <mergeCell ref="A111:I111"/>
    <mergeCell ref="A112:A113"/>
    <mergeCell ref="B112:B113"/>
    <mergeCell ref="D112:F112"/>
    <mergeCell ref="G112:G113"/>
    <mergeCell ref="H112:H113"/>
    <mergeCell ref="I112:I113"/>
    <mergeCell ref="A155:B155"/>
    <mergeCell ref="A147:I147"/>
    <mergeCell ref="H138:H139"/>
    <mergeCell ref="I138:I139"/>
    <mergeCell ref="A140:I140"/>
    <mergeCell ref="A138:A139"/>
    <mergeCell ref="B138:B139"/>
    <mergeCell ref="D138:F138"/>
    <mergeCell ref="G138:G139"/>
    <mergeCell ref="A179:I179"/>
    <mergeCell ref="A168:I168"/>
    <mergeCell ref="A160:I160"/>
    <mergeCell ref="A156:I156"/>
    <mergeCell ref="A157:I157"/>
    <mergeCell ref="A158:A159"/>
    <mergeCell ref="B158:B159"/>
    <mergeCell ref="D158:F158"/>
    <mergeCell ref="G158:G159"/>
    <mergeCell ref="H158:H159"/>
    <mergeCell ref="I158:I159"/>
    <mergeCell ref="C158:C159"/>
    <mergeCell ref="A210:B210"/>
    <mergeCell ref="A211:I211"/>
    <mergeCell ref="A205:I205"/>
    <mergeCell ref="A196:I196"/>
    <mergeCell ref="I187:I188"/>
    <mergeCell ref="A189:I189"/>
    <mergeCell ref="A184:B184"/>
    <mergeCell ref="A185:I185"/>
    <mergeCell ref="A186:I186"/>
    <mergeCell ref="A187:A188"/>
    <mergeCell ref="B187:B188"/>
    <mergeCell ref="D187:F187"/>
    <mergeCell ref="G187:G188"/>
    <mergeCell ref="H187:H188"/>
    <mergeCell ref="C187:C188"/>
    <mergeCell ref="A234:I234"/>
    <mergeCell ref="A223:I223"/>
    <mergeCell ref="A215:I215"/>
    <mergeCell ref="A212:I212"/>
    <mergeCell ref="A213:A214"/>
    <mergeCell ref="B213:B214"/>
    <mergeCell ref="D213:F213"/>
    <mergeCell ref="G213:G214"/>
    <mergeCell ref="H213:H214"/>
    <mergeCell ref="I213:I214"/>
    <mergeCell ref="C213:C214"/>
    <mergeCell ref="H243:H244"/>
    <mergeCell ref="I243:I244"/>
    <mergeCell ref="A245:I245"/>
    <mergeCell ref="A240:B240"/>
    <mergeCell ref="A241:I241"/>
    <mergeCell ref="A242:I242"/>
    <mergeCell ref="A243:A244"/>
    <mergeCell ref="B243:B244"/>
    <mergeCell ref="D243:F243"/>
    <mergeCell ref="G243:G244"/>
    <mergeCell ref="C243:C244"/>
    <mergeCell ref="A269:I269"/>
    <mergeCell ref="A270:I270"/>
    <mergeCell ref="A271:A272"/>
    <mergeCell ref="B271:B272"/>
    <mergeCell ref="D271:F271"/>
    <mergeCell ref="G271:G272"/>
    <mergeCell ref="C271:C272"/>
    <mergeCell ref="A262:I262"/>
    <mergeCell ref="A253:I253"/>
    <mergeCell ref="A299:A300"/>
    <mergeCell ref="B299:B300"/>
    <mergeCell ref="D299:F299"/>
    <mergeCell ref="G299:G300"/>
    <mergeCell ref="C299:C300"/>
    <mergeCell ref="A291:I291"/>
    <mergeCell ref="A281:I281"/>
    <mergeCell ref="H271:H272"/>
    <mergeCell ref="I271:I272"/>
    <mergeCell ref="A273:I273"/>
    <mergeCell ref="A332:G332"/>
    <mergeCell ref="C5:C6"/>
    <mergeCell ref="C32:C33"/>
    <mergeCell ref="C60:C61"/>
    <mergeCell ref="C86:C87"/>
    <mergeCell ref="C112:C113"/>
    <mergeCell ref="C138:C139"/>
    <mergeCell ref="A328:G328"/>
    <mergeCell ref="A329:A330"/>
    <mergeCell ref="B329:G329"/>
    <mergeCell ref="A317:B317"/>
    <mergeCell ref="A319:I319"/>
    <mergeCell ref="A320:G320"/>
    <mergeCell ref="A321:D321"/>
    <mergeCell ref="A323:A324"/>
    <mergeCell ref="B323:B324"/>
    <mergeCell ref="D323:G323"/>
    <mergeCell ref="A308:I308"/>
    <mergeCell ref="H299:H300"/>
    <mergeCell ref="I299:I300"/>
    <mergeCell ref="A301:I301"/>
    <mergeCell ref="A296:B296"/>
    <mergeCell ref="A297:I297"/>
    <mergeCell ref="A298:I2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19" workbookViewId="0">
      <selection activeCell="B30" sqref="B30:D30"/>
    </sheetView>
  </sheetViews>
  <sheetFormatPr defaultColWidth="8.85546875" defaultRowHeight="15"/>
  <cols>
    <col min="1" max="1" width="6.85546875" style="25" customWidth="1"/>
    <col min="2" max="2" width="46.42578125" style="23" customWidth="1"/>
    <col min="3" max="3" width="11.7109375" style="23" customWidth="1"/>
    <col min="4" max="4" width="12.28515625" style="80" customWidth="1"/>
    <col min="5" max="5" width="13.85546875" style="23" customWidth="1"/>
    <col min="6" max="16384" width="8.85546875" style="23"/>
  </cols>
  <sheetData>
    <row r="1" spans="1:5" s="28" customFormat="1" ht="26.25" customHeight="1">
      <c r="A1" s="43" t="s">
        <v>17</v>
      </c>
      <c r="B1" s="4"/>
      <c r="C1" s="56"/>
      <c r="D1" s="174" t="s">
        <v>13</v>
      </c>
      <c r="E1" s="166"/>
    </row>
    <row r="2" spans="1:5" s="28" customFormat="1" ht="26.25" customHeight="1">
      <c r="A2" s="43" t="s">
        <v>14</v>
      </c>
      <c r="B2" s="4"/>
      <c r="C2" s="174" t="str">
        <f>'1 Д 1 Н'!C2</f>
        <v>Директор МБОУ _____________</v>
      </c>
      <c r="D2" s="166"/>
      <c r="E2" s="166"/>
    </row>
    <row r="3" spans="1:5" s="28" customFormat="1" ht="26.25" customHeight="1">
      <c r="A3" s="43" t="s">
        <v>15</v>
      </c>
      <c r="B3" s="4"/>
      <c r="C3" s="174" t="str">
        <f>'1 Д 1 Н'!C3</f>
        <v>______________/______________/</v>
      </c>
      <c r="D3" s="166"/>
      <c r="E3" s="166"/>
    </row>
    <row r="4" spans="1:5" s="28" customFormat="1" ht="26.25" customHeight="1">
      <c r="A4" s="43" t="s">
        <v>63</v>
      </c>
      <c r="B4" s="4"/>
      <c r="C4" s="165" t="str">
        <f>'1 Д 1 Н'!C4:D4</f>
        <v>"____"__________2023 г.</v>
      </c>
      <c r="D4" s="166"/>
      <c r="E4" s="166"/>
    </row>
    <row r="6" spans="1:5" s="29" customFormat="1" ht="28.35" customHeight="1">
      <c r="B6" s="168" t="s">
        <v>151</v>
      </c>
      <c r="C6" s="168"/>
      <c r="D6" s="168"/>
      <c r="E6" s="45"/>
    </row>
    <row r="7" spans="1:5">
      <c r="A7" s="172" t="s">
        <v>16</v>
      </c>
      <c r="B7" s="169" t="s">
        <v>0</v>
      </c>
      <c r="C7" s="162" t="s">
        <v>1</v>
      </c>
      <c r="D7" s="170" t="s">
        <v>2</v>
      </c>
      <c r="E7" s="162" t="s">
        <v>70</v>
      </c>
    </row>
    <row r="8" spans="1:5" ht="15.75" thickBot="1">
      <c r="A8" s="173"/>
      <c r="B8" s="169"/>
      <c r="C8" s="162"/>
      <c r="D8" s="170"/>
      <c r="E8" s="162"/>
    </row>
    <row r="9" spans="1:5">
      <c r="A9" s="30">
        <v>1</v>
      </c>
      <c r="B9" s="128" t="s">
        <v>45</v>
      </c>
      <c r="C9" s="103">
        <v>100</v>
      </c>
      <c r="D9" s="9">
        <f>35.46*100/60</f>
        <v>59.1</v>
      </c>
      <c r="E9" s="57">
        <v>12</v>
      </c>
    </row>
    <row r="10" spans="1:5">
      <c r="A10" s="30">
        <v>2</v>
      </c>
      <c r="B10" s="128" t="s">
        <v>18</v>
      </c>
      <c r="C10" s="103">
        <v>180</v>
      </c>
      <c r="D10" s="88">
        <f>142*180/105</f>
        <v>243.42857142857142</v>
      </c>
      <c r="E10" s="15">
        <v>21</v>
      </c>
    </row>
    <row r="11" spans="1:5">
      <c r="A11" s="30">
        <v>3</v>
      </c>
      <c r="B11" s="128" t="s">
        <v>19</v>
      </c>
      <c r="C11" s="103">
        <v>100</v>
      </c>
      <c r="D11" s="88">
        <f>161*100/55</f>
        <v>292.72727272727275</v>
      </c>
      <c r="E11" s="68">
        <v>45</v>
      </c>
    </row>
    <row r="12" spans="1:5">
      <c r="A12" s="30">
        <v>4</v>
      </c>
      <c r="B12" s="128" t="s">
        <v>20</v>
      </c>
      <c r="C12" s="103">
        <v>180</v>
      </c>
      <c r="D12" s="14">
        <f>503*0.18</f>
        <v>90.539999999999992</v>
      </c>
      <c r="E12" s="60">
        <v>10</v>
      </c>
    </row>
    <row r="13" spans="1:5">
      <c r="A13" s="30">
        <v>5</v>
      </c>
      <c r="B13" s="128" t="s">
        <v>5</v>
      </c>
      <c r="C13" s="103">
        <v>20</v>
      </c>
      <c r="D13" s="88">
        <f>118.4*20/50</f>
        <v>47.36</v>
      </c>
      <c r="E13" s="157">
        <v>2</v>
      </c>
    </row>
    <row r="14" spans="1:5">
      <c r="A14" s="30">
        <v>6</v>
      </c>
      <c r="B14" s="128" t="s">
        <v>6</v>
      </c>
      <c r="C14" s="103">
        <v>20</v>
      </c>
      <c r="D14" s="88">
        <v>40.799999999999997</v>
      </c>
      <c r="E14" s="15">
        <v>3</v>
      </c>
    </row>
    <row r="15" spans="1:5" s="26" customFormat="1" thickBot="1">
      <c r="A15" s="31"/>
      <c r="B15" s="129" t="s">
        <v>7</v>
      </c>
      <c r="C15" s="114">
        <f>SUM(C9:C14)</f>
        <v>600</v>
      </c>
      <c r="D15" s="108">
        <f t="shared" ref="D15" si="0">SUM(D9:D14)</f>
        <v>773.95584415584415</v>
      </c>
      <c r="E15" s="67">
        <f>SUM(E9:E14)</f>
        <v>93</v>
      </c>
    </row>
    <row r="16" spans="1:5">
      <c r="A16" s="45"/>
      <c r="B16" s="175"/>
      <c r="C16" s="175"/>
      <c r="D16" s="175"/>
    </row>
    <row r="17" spans="1:5" s="29" customFormat="1" ht="28.35" customHeight="1">
      <c r="B17" s="168" t="s">
        <v>152</v>
      </c>
      <c r="C17" s="168"/>
      <c r="D17" s="168"/>
      <c r="E17" s="45"/>
    </row>
    <row r="18" spans="1:5" s="29" customFormat="1" ht="13.35" customHeight="1">
      <c r="A18" s="172" t="s">
        <v>16</v>
      </c>
      <c r="B18" s="169" t="s">
        <v>0</v>
      </c>
      <c r="C18" s="162" t="s">
        <v>1</v>
      </c>
      <c r="D18" s="170" t="s">
        <v>2</v>
      </c>
      <c r="E18" s="162" t="s">
        <v>70</v>
      </c>
    </row>
    <row r="19" spans="1:5" s="29" customFormat="1" ht="26.65" customHeight="1" thickBot="1">
      <c r="A19" s="173"/>
      <c r="B19" s="169"/>
      <c r="C19" s="162"/>
      <c r="D19" s="170"/>
      <c r="E19" s="162"/>
    </row>
    <row r="20" spans="1:5" ht="30">
      <c r="A20" s="30">
        <v>1</v>
      </c>
      <c r="B20" s="128" t="s">
        <v>21</v>
      </c>
      <c r="C20" s="103">
        <v>100</v>
      </c>
      <c r="D20" s="88">
        <f>1319*0.1</f>
        <v>131.9</v>
      </c>
      <c r="E20" s="57">
        <v>12</v>
      </c>
    </row>
    <row r="21" spans="1:5">
      <c r="A21" s="30">
        <v>2</v>
      </c>
      <c r="B21" s="128" t="s">
        <v>76</v>
      </c>
      <c r="C21" s="103">
        <v>250</v>
      </c>
      <c r="D21" s="88">
        <f>593*0.25</f>
        <v>148.25</v>
      </c>
      <c r="E21" s="15">
        <v>22</v>
      </c>
    </row>
    <row r="22" spans="1:5">
      <c r="A22" s="30">
        <v>3</v>
      </c>
      <c r="B22" s="128" t="s">
        <v>22</v>
      </c>
      <c r="C22" s="103">
        <v>180</v>
      </c>
      <c r="D22" s="88">
        <f>90*180/100</f>
        <v>162</v>
      </c>
      <c r="E22" s="15">
        <v>20</v>
      </c>
    </row>
    <row r="23" spans="1:5">
      <c r="A23" s="30">
        <v>4</v>
      </c>
      <c r="B23" s="128" t="s">
        <v>23</v>
      </c>
      <c r="C23" s="103">
        <v>100</v>
      </c>
      <c r="D23" s="88">
        <f>143*100/60</f>
        <v>238.33333333333334</v>
      </c>
      <c r="E23" s="15">
        <v>45</v>
      </c>
    </row>
    <row r="24" spans="1:5">
      <c r="A24" s="30">
        <v>5</v>
      </c>
      <c r="B24" s="128" t="s">
        <v>24</v>
      </c>
      <c r="C24" s="103">
        <v>200</v>
      </c>
      <c r="D24" s="9">
        <v>83.4</v>
      </c>
      <c r="E24" s="15">
        <v>10</v>
      </c>
    </row>
    <row r="25" spans="1:5">
      <c r="A25" s="30">
        <v>6</v>
      </c>
      <c r="B25" s="128" t="s">
        <v>25</v>
      </c>
      <c r="C25" s="103">
        <v>200</v>
      </c>
      <c r="D25" s="88">
        <v>52</v>
      </c>
      <c r="E25" s="15">
        <v>25</v>
      </c>
    </row>
    <row r="26" spans="1:5">
      <c r="A26" s="30">
        <v>7</v>
      </c>
      <c r="B26" s="128" t="s">
        <v>5</v>
      </c>
      <c r="C26" s="103">
        <v>30</v>
      </c>
      <c r="D26" s="102">
        <v>71</v>
      </c>
      <c r="E26" s="15">
        <v>3</v>
      </c>
    </row>
    <row r="27" spans="1:5">
      <c r="A27" s="39">
        <v>8</v>
      </c>
      <c r="B27" s="128" t="s">
        <v>6</v>
      </c>
      <c r="C27" s="103">
        <v>30</v>
      </c>
      <c r="D27" s="102">
        <v>61.2</v>
      </c>
      <c r="E27" s="15">
        <v>4.5</v>
      </c>
    </row>
    <row r="28" spans="1:5" ht="15.75" thickBot="1">
      <c r="A28" s="31"/>
      <c r="B28" s="129" t="s">
        <v>7</v>
      </c>
      <c r="C28" s="112">
        <f>SUM(C20:C27)</f>
        <v>1090</v>
      </c>
      <c r="D28" s="108">
        <f t="shared" ref="D28" si="1">SUM(D20:D27)</f>
        <v>948.08333333333337</v>
      </c>
      <c r="E28" s="67">
        <f>SUM(E20:E27)</f>
        <v>141.5</v>
      </c>
    </row>
    <row r="29" spans="1:5" s="27" customFormat="1">
      <c r="A29" s="46"/>
      <c r="B29" s="177"/>
      <c r="C29" s="177"/>
      <c r="D29" s="177"/>
    </row>
    <row r="30" spans="1:5" s="29" customFormat="1" ht="28.35" customHeight="1">
      <c r="B30" s="168" t="s">
        <v>153</v>
      </c>
      <c r="C30" s="168"/>
      <c r="D30" s="168"/>
      <c r="E30" s="45"/>
    </row>
    <row r="31" spans="1:5" s="29" customFormat="1" ht="13.35" customHeight="1">
      <c r="A31" s="172" t="s">
        <v>16</v>
      </c>
      <c r="B31" s="169" t="s">
        <v>0</v>
      </c>
      <c r="C31" s="162" t="s">
        <v>1</v>
      </c>
      <c r="D31" s="170" t="s">
        <v>2</v>
      </c>
      <c r="E31" s="162" t="s">
        <v>70</v>
      </c>
    </row>
    <row r="32" spans="1:5" s="29" customFormat="1" ht="26.65" customHeight="1">
      <c r="A32" s="173"/>
      <c r="B32" s="169"/>
      <c r="C32" s="162"/>
      <c r="D32" s="176"/>
      <c r="E32" s="162"/>
    </row>
    <row r="33" spans="1:6" ht="30">
      <c r="A33" s="30">
        <v>1</v>
      </c>
      <c r="B33" s="128" t="s">
        <v>171</v>
      </c>
      <c r="C33" s="103">
        <v>200</v>
      </c>
      <c r="D33" s="136">
        <f>118*200/80</f>
        <v>295</v>
      </c>
      <c r="E33" s="31">
        <v>29.47</v>
      </c>
    </row>
    <row r="34" spans="1:6">
      <c r="A34" s="30">
        <v>2</v>
      </c>
      <c r="B34" s="128" t="s">
        <v>72</v>
      </c>
      <c r="C34" s="103">
        <v>120</v>
      </c>
      <c r="D34" s="9">
        <f>56.4*120/100</f>
        <v>67.680000000000007</v>
      </c>
      <c r="E34" s="31">
        <v>12</v>
      </c>
    </row>
    <row r="35" spans="1:6" s="26" customFormat="1" ht="30">
      <c r="A35" s="31"/>
      <c r="B35" s="128" t="s">
        <v>26</v>
      </c>
      <c r="C35" s="103">
        <v>180</v>
      </c>
      <c r="D35" s="9">
        <f>112*0.18</f>
        <v>20.16</v>
      </c>
      <c r="E35" s="79">
        <v>10</v>
      </c>
    </row>
    <row r="36" spans="1:6">
      <c r="B36" s="129" t="s">
        <v>7</v>
      </c>
      <c r="C36" s="114">
        <f>SUM(C33:C35)</f>
        <v>500</v>
      </c>
      <c r="D36" s="108">
        <f t="shared" ref="D36" si="2">SUM(D33:D35)</f>
        <v>382.84000000000003</v>
      </c>
      <c r="E36" s="64">
        <f>SUM(E33:E35)</f>
        <v>51.47</v>
      </c>
    </row>
    <row r="38" spans="1:6" s="33" customFormat="1" ht="21.6" customHeight="1">
      <c r="A38" s="38" t="str">
        <f>'1 Д 1 Н'!A38</f>
        <v xml:space="preserve">    Заведующий производством  _______________/  ______________/                              /</v>
      </c>
      <c r="B38" s="35"/>
      <c r="C38" s="41"/>
      <c r="D38" s="42"/>
    </row>
    <row r="39" spans="1:6" s="29" customFormat="1" ht="21.6" customHeight="1">
      <c r="A39" s="171" t="s">
        <v>74</v>
      </c>
      <c r="B39" s="166"/>
      <c r="C39" s="166"/>
      <c r="D39" s="166"/>
      <c r="E39" s="166"/>
      <c r="F39" s="34"/>
    </row>
    <row r="40" spans="1:6">
      <c r="A40" s="78" t="s">
        <v>75</v>
      </c>
      <c r="D40" s="91"/>
      <c r="E40" s="77"/>
      <c r="F40" s="54"/>
    </row>
  </sheetData>
  <mergeCells count="25">
    <mergeCell ref="A39:E39"/>
    <mergeCell ref="A7:A8"/>
    <mergeCell ref="B7:B8"/>
    <mergeCell ref="C7:C8"/>
    <mergeCell ref="D7:D8"/>
    <mergeCell ref="A18:A19"/>
    <mergeCell ref="B18:B19"/>
    <mergeCell ref="C18:C19"/>
    <mergeCell ref="D18:D19"/>
    <mergeCell ref="A31:A32"/>
    <mergeCell ref="B31:B32"/>
    <mergeCell ref="C31:C32"/>
    <mergeCell ref="D31:D32"/>
    <mergeCell ref="B29:D29"/>
    <mergeCell ref="B30:D30"/>
    <mergeCell ref="E7:E8"/>
    <mergeCell ref="E18:E19"/>
    <mergeCell ref="E31:E32"/>
    <mergeCell ref="D1:E1"/>
    <mergeCell ref="C2:E2"/>
    <mergeCell ref="C3:E3"/>
    <mergeCell ref="C4:E4"/>
    <mergeCell ref="B16:D16"/>
    <mergeCell ref="B6:D6"/>
    <mergeCell ref="B17:D17"/>
  </mergeCells>
  <pageMargins left="0.70866141732283472" right="0.70866141732283472" top="0.3937007874015748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13" workbookViewId="0">
      <selection activeCell="B27" sqref="B27:D27"/>
    </sheetView>
  </sheetViews>
  <sheetFormatPr defaultColWidth="8.85546875" defaultRowHeight="15"/>
  <cols>
    <col min="1" max="1" width="6" style="23" customWidth="1"/>
    <col min="2" max="2" width="53" style="23" customWidth="1"/>
    <col min="3" max="3" width="13" style="23" customWidth="1"/>
    <col min="4" max="4" width="11.85546875" style="80" customWidth="1"/>
    <col min="5" max="5" width="8.85546875" style="81"/>
    <col min="6" max="16384" width="8.85546875" style="23"/>
  </cols>
  <sheetData>
    <row r="1" spans="1:5" s="28" customFormat="1" ht="26.25" customHeight="1">
      <c r="A1" s="43" t="s">
        <v>17</v>
      </c>
      <c r="B1" s="4"/>
      <c r="C1" s="4"/>
      <c r="D1" s="178" t="s">
        <v>13</v>
      </c>
      <c r="E1" s="179"/>
    </row>
    <row r="2" spans="1:5" s="28" customFormat="1" ht="26.25" customHeight="1">
      <c r="A2" s="43" t="s">
        <v>14</v>
      </c>
      <c r="B2" s="4"/>
      <c r="C2" s="165" t="str">
        <f>'1 Д 1 Н'!C2</f>
        <v>Директор МБОУ _____________</v>
      </c>
      <c r="D2" s="166"/>
      <c r="E2" s="166"/>
    </row>
    <row r="3" spans="1:5" s="28" customFormat="1" ht="26.25" customHeight="1">
      <c r="A3" s="43" t="s">
        <v>15</v>
      </c>
      <c r="B3" s="4"/>
      <c r="C3" s="165" t="str">
        <f>'1 Д 1 Н'!C3</f>
        <v>______________/______________/</v>
      </c>
      <c r="D3" s="166"/>
      <c r="E3" s="166"/>
    </row>
    <row r="4" spans="1:5" s="28" customFormat="1" ht="26.25" customHeight="1">
      <c r="A4" s="43" t="s">
        <v>63</v>
      </c>
      <c r="B4" s="4"/>
      <c r="C4" s="165" t="str">
        <f>'1 Д 1 Н'!C4:D4</f>
        <v>"____"__________2023 г.</v>
      </c>
      <c r="D4" s="166"/>
      <c r="E4" s="166"/>
    </row>
    <row r="5" spans="1:5">
      <c r="A5" s="25"/>
    </row>
    <row r="6" spans="1:5" s="29" customFormat="1" ht="28.35" customHeight="1">
      <c r="B6" s="168" t="s">
        <v>151</v>
      </c>
      <c r="C6" s="168"/>
      <c r="D6" s="168"/>
      <c r="E6" s="45"/>
    </row>
    <row r="7" spans="1:5" s="29" customFormat="1" ht="13.35" customHeight="1">
      <c r="A7" s="172" t="s">
        <v>27</v>
      </c>
      <c r="B7" s="169" t="s">
        <v>0</v>
      </c>
      <c r="C7" s="162" t="s">
        <v>1</v>
      </c>
      <c r="D7" s="170" t="s">
        <v>2</v>
      </c>
      <c r="E7" s="162" t="s">
        <v>70</v>
      </c>
    </row>
    <row r="8" spans="1:5" s="29" customFormat="1" ht="26.65" customHeight="1" thickBot="1">
      <c r="A8" s="173"/>
      <c r="B8" s="169"/>
      <c r="C8" s="162"/>
      <c r="D8" s="170"/>
      <c r="E8" s="162"/>
    </row>
    <row r="9" spans="1:5" s="29" customFormat="1" ht="12.2" customHeight="1">
      <c r="A9" s="30">
        <v>1</v>
      </c>
      <c r="B9" s="128" t="s">
        <v>28</v>
      </c>
      <c r="C9" s="103">
        <v>100</v>
      </c>
      <c r="D9" s="88">
        <f>10*0.1</f>
        <v>1</v>
      </c>
      <c r="E9" s="57">
        <v>12</v>
      </c>
    </row>
    <row r="10" spans="1:5" s="29" customFormat="1" ht="12.2" customHeight="1">
      <c r="A10" s="30">
        <v>2</v>
      </c>
      <c r="B10" s="128" t="s">
        <v>77</v>
      </c>
      <c r="C10" s="103">
        <v>200</v>
      </c>
      <c r="D10" s="88">
        <f>200*200/117</f>
        <v>341.88034188034186</v>
      </c>
      <c r="E10" s="15">
        <v>72</v>
      </c>
    </row>
    <row r="11" spans="1:5" s="29" customFormat="1" ht="12.2" customHeight="1">
      <c r="A11" s="30">
        <v>3</v>
      </c>
      <c r="B11" s="128" t="s">
        <v>29</v>
      </c>
      <c r="C11" s="103">
        <v>200</v>
      </c>
      <c r="D11" s="88">
        <v>83.4</v>
      </c>
      <c r="E11" s="15">
        <v>10</v>
      </c>
    </row>
    <row r="12" spans="1:5" s="29" customFormat="1" ht="12.2" customHeight="1">
      <c r="A12" s="30">
        <v>4</v>
      </c>
      <c r="B12" s="128" t="s">
        <v>5</v>
      </c>
      <c r="C12" s="103">
        <v>30</v>
      </c>
      <c r="D12" s="102">
        <v>71</v>
      </c>
      <c r="E12" s="15">
        <v>3</v>
      </c>
    </row>
    <row r="13" spans="1:5" s="29" customFormat="1" ht="12.2" customHeight="1">
      <c r="A13" s="89">
        <v>5</v>
      </c>
      <c r="B13" s="145" t="s">
        <v>6</v>
      </c>
      <c r="C13" s="139">
        <v>20</v>
      </c>
      <c r="D13" s="140">
        <v>40.799999999999997</v>
      </c>
      <c r="E13" s="68">
        <v>3</v>
      </c>
    </row>
    <row r="14" spans="1:5" s="29" customFormat="1" ht="12.2" customHeight="1">
      <c r="A14" s="141"/>
      <c r="B14" s="142" t="s">
        <v>7</v>
      </c>
      <c r="C14" s="146">
        <f t="shared" ref="C14:D14" si="0">SUM(C9:C13)</f>
        <v>550</v>
      </c>
      <c r="D14" s="144">
        <f t="shared" si="0"/>
        <v>538.08034188034185</v>
      </c>
      <c r="E14" s="158">
        <f>SUM(E9:E13)</f>
        <v>100</v>
      </c>
    </row>
    <row r="15" spans="1:5" s="29" customFormat="1" ht="28.35" customHeight="1">
      <c r="B15" s="168" t="s">
        <v>152</v>
      </c>
      <c r="C15" s="168"/>
      <c r="D15" s="168"/>
      <c r="E15" s="45"/>
    </row>
    <row r="16" spans="1:5" s="29" customFormat="1" ht="13.35" customHeight="1">
      <c r="A16" s="172" t="s">
        <v>27</v>
      </c>
      <c r="B16" s="162" t="s">
        <v>0</v>
      </c>
      <c r="C16" s="162" t="s">
        <v>1</v>
      </c>
      <c r="D16" s="170" t="s">
        <v>2</v>
      </c>
      <c r="E16" s="162" t="s">
        <v>70</v>
      </c>
    </row>
    <row r="17" spans="1:5" s="29" customFormat="1" ht="26.65" customHeight="1" thickBot="1">
      <c r="A17" s="173"/>
      <c r="B17" s="162"/>
      <c r="C17" s="162"/>
      <c r="D17" s="170"/>
      <c r="E17" s="162"/>
    </row>
    <row r="18" spans="1:5" s="29" customFormat="1" ht="12.2" customHeight="1">
      <c r="A18" s="30">
        <v>1</v>
      </c>
      <c r="B18" s="128" t="s">
        <v>30</v>
      </c>
      <c r="C18" s="103">
        <v>100</v>
      </c>
      <c r="D18" s="88">
        <f>604*0.1</f>
        <v>60.400000000000006</v>
      </c>
      <c r="E18" s="57">
        <v>12</v>
      </c>
    </row>
    <row r="19" spans="1:5" s="29" customFormat="1" ht="12.2" customHeight="1">
      <c r="A19" s="30">
        <v>2</v>
      </c>
      <c r="B19" s="128" t="s">
        <v>31</v>
      </c>
      <c r="C19" s="103">
        <v>250</v>
      </c>
      <c r="D19" s="88">
        <f>460*0.25</f>
        <v>115</v>
      </c>
      <c r="E19" s="15">
        <v>22</v>
      </c>
    </row>
    <row r="20" spans="1:5" s="29" customFormat="1" ht="12.2" customHeight="1">
      <c r="A20" s="30">
        <v>3</v>
      </c>
      <c r="B20" s="128" t="s">
        <v>177</v>
      </c>
      <c r="C20" s="103">
        <v>200</v>
      </c>
      <c r="D20" s="88">
        <f>295*200/175</f>
        <v>337.14285714285717</v>
      </c>
      <c r="E20" s="15">
        <v>53</v>
      </c>
    </row>
    <row r="21" spans="1:5" s="29" customFormat="1" ht="12.2" customHeight="1">
      <c r="A21" s="30">
        <v>4</v>
      </c>
      <c r="B21" s="128" t="s">
        <v>78</v>
      </c>
      <c r="C21" s="103">
        <v>180</v>
      </c>
      <c r="D21" s="88">
        <f>100*180/200</f>
        <v>90</v>
      </c>
      <c r="E21" s="15">
        <v>10</v>
      </c>
    </row>
    <row r="22" spans="1:5" s="29" customFormat="1" ht="12.2" customHeight="1">
      <c r="A22" s="30">
        <v>5</v>
      </c>
      <c r="B22" s="3" t="s">
        <v>80</v>
      </c>
      <c r="C22" s="103">
        <v>25</v>
      </c>
      <c r="D22" s="135">
        <v>104.3</v>
      </c>
      <c r="E22" s="58">
        <v>10</v>
      </c>
    </row>
    <row r="23" spans="1:5" s="29" customFormat="1" ht="12.2" customHeight="1">
      <c r="A23" s="49">
        <v>6</v>
      </c>
      <c r="B23" s="128" t="s">
        <v>79</v>
      </c>
      <c r="C23" s="103">
        <v>100</v>
      </c>
      <c r="D23" s="102">
        <v>56.4</v>
      </c>
      <c r="E23" s="15">
        <v>10</v>
      </c>
    </row>
    <row r="24" spans="1:5" s="29" customFormat="1" ht="12.2" customHeight="1">
      <c r="A24" s="49">
        <v>7</v>
      </c>
      <c r="B24" s="128" t="s">
        <v>5</v>
      </c>
      <c r="C24" s="103">
        <v>30</v>
      </c>
      <c r="D24" s="102">
        <v>71</v>
      </c>
      <c r="E24" s="15">
        <v>3</v>
      </c>
    </row>
    <row r="25" spans="1:5" s="29" customFormat="1" ht="12.2" customHeight="1">
      <c r="A25" s="137">
        <v>8</v>
      </c>
      <c r="B25" s="138" t="s">
        <v>6</v>
      </c>
      <c r="C25" s="139">
        <v>30</v>
      </c>
      <c r="D25" s="140">
        <v>61.2</v>
      </c>
      <c r="E25" s="68">
        <v>4.5</v>
      </c>
    </row>
    <row r="26" spans="1:5" s="29" customFormat="1" ht="21.6" customHeight="1">
      <c r="A26" s="141"/>
      <c r="B26" s="142" t="s">
        <v>7</v>
      </c>
      <c r="C26" s="143">
        <f>SUM(C18:C25)</f>
        <v>915</v>
      </c>
      <c r="D26" s="144">
        <f>SUM(D18:D25)</f>
        <v>895.44285714285718</v>
      </c>
      <c r="E26" s="158">
        <f>SUM(E18:E25)</f>
        <v>124.5</v>
      </c>
    </row>
    <row r="27" spans="1:5" s="29" customFormat="1" ht="28.35" customHeight="1">
      <c r="B27" s="180" t="s">
        <v>153</v>
      </c>
      <c r="C27" s="180"/>
      <c r="D27" s="180"/>
      <c r="E27" s="45"/>
    </row>
    <row r="28" spans="1:5" s="29" customFormat="1" ht="13.35" customHeight="1">
      <c r="A28" s="172" t="s">
        <v>27</v>
      </c>
      <c r="B28" s="162" t="s">
        <v>0</v>
      </c>
      <c r="C28" s="162" t="s">
        <v>1</v>
      </c>
      <c r="D28" s="170" t="s">
        <v>2</v>
      </c>
      <c r="E28" s="162" t="s">
        <v>70</v>
      </c>
    </row>
    <row r="29" spans="1:5" s="29" customFormat="1" ht="26.65" customHeight="1">
      <c r="A29" s="173"/>
      <c r="B29" s="162"/>
      <c r="C29" s="162"/>
      <c r="D29" s="170"/>
      <c r="E29" s="162"/>
    </row>
    <row r="30" spans="1:5" s="29" customFormat="1" ht="12.2" customHeight="1">
      <c r="A30" s="30">
        <v>1</v>
      </c>
      <c r="B30" s="128" t="s">
        <v>178</v>
      </c>
      <c r="C30" s="103">
        <v>150</v>
      </c>
      <c r="D30" s="88">
        <v>226.25</v>
      </c>
      <c r="E30" s="72">
        <v>41.47</v>
      </c>
    </row>
    <row r="31" spans="1:5" s="29" customFormat="1" ht="12.2" customHeight="1">
      <c r="A31" s="30">
        <v>2</v>
      </c>
      <c r="B31" s="128" t="s">
        <v>4</v>
      </c>
      <c r="C31" s="103">
        <v>200</v>
      </c>
      <c r="D31" s="88">
        <v>81</v>
      </c>
      <c r="E31" s="72">
        <v>10</v>
      </c>
    </row>
    <row r="32" spans="1:5" s="33" customFormat="1" ht="12.2" customHeight="1">
      <c r="A32" s="37"/>
      <c r="B32" s="129" t="s">
        <v>7</v>
      </c>
      <c r="C32" s="107">
        <f>C30+C31</f>
        <v>350</v>
      </c>
      <c r="D32" s="108">
        <f t="shared" ref="D32" si="1">D30+D31</f>
        <v>307.25</v>
      </c>
      <c r="E32" s="32">
        <f t="shared" ref="E32" si="2">SUM(E30:E31)</f>
        <v>51.47</v>
      </c>
    </row>
    <row r="33" spans="1:6" s="29" customFormat="1" ht="12.2" customHeight="1">
      <c r="B33" s="48"/>
      <c r="C33" s="50"/>
      <c r="D33" s="76"/>
      <c r="E33" s="82"/>
    </row>
    <row r="34" spans="1:6" s="33" customFormat="1" ht="21.6" customHeight="1">
      <c r="A34" s="38" t="str">
        <f>'1 Д 1 Н'!A38</f>
        <v xml:space="preserve">    Заведующий производством  _______________/  ______________/                              /</v>
      </c>
      <c r="B34" s="35"/>
      <c r="C34" s="41"/>
      <c r="D34" s="42"/>
      <c r="E34" s="83"/>
    </row>
    <row r="35" spans="1:6" s="29" customFormat="1" ht="21.6" customHeight="1">
      <c r="A35" s="171" t="s">
        <v>74</v>
      </c>
      <c r="B35" s="166"/>
      <c r="C35" s="166"/>
      <c r="D35" s="166"/>
      <c r="E35" s="166"/>
      <c r="F35" s="34"/>
    </row>
    <row r="36" spans="1:6">
      <c r="A36" s="78" t="s">
        <v>75</v>
      </c>
      <c r="D36" s="91"/>
      <c r="E36" s="77"/>
      <c r="F36" s="54"/>
    </row>
  </sheetData>
  <mergeCells count="23">
    <mergeCell ref="A35:E35"/>
    <mergeCell ref="A7:A8"/>
    <mergeCell ref="B7:B8"/>
    <mergeCell ref="C7:C8"/>
    <mergeCell ref="D7:D8"/>
    <mergeCell ref="A28:A29"/>
    <mergeCell ref="B28:B29"/>
    <mergeCell ref="C28:C29"/>
    <mergeCell ref="D28:D29"/>
    <mergeCell ref="B15:D15"/>
    <mergeCell ref="A16:A17"/>
    <mergeCell ref="B16:B17"/>
    <mergeCell ref="C16:C17"/>
    <mergeCell ref="D16:D17"/>
    <mergeCell ref="B27:D27"/>
    <mergeCell ref="E7:E8"/>
    <mergeCell ref="E16:E17"/>
    <mergeCell ref="E28:E29"/>
    <mergeCell ref="D1:E1"/>
    <mergeCell ref="C2:E2"/>
    <mergeCell ref="C3:E3"/>
    <mergeCell ref="C4:E4"/>
    <mergeCell ref="B6:D6"/>
  </mergeCells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A16" workbookViewId="0">
      <selection activeCell="B29" sqref="B29:D29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5" width="8.85546875" style="81"/>
    <col min="6" max="16384" width="8.85546875" style="23"/>
  </cols>
  <sheetData>
    <row r="1" spans="1:5">
      <c r="A1" s="23" t="str">
        <f>'1 Д 1 Н'!A1</f>
        <v>Утверждаю</v>
      </c>
      <c r="D1" s="181" t="str">
        <f>'1 Д 1 Н'!D1</f>
        <v>Согласовано</v>
      </c>
      <c r="E1" s="179"/>
    </row>
    <row r="2" spans="1:5">
      <c r="A2" s="23" t="str">
        <f>'1 Д 1 Н'!A2</f>
        <v>Директор ООО "ВитаЛайн"</v>
      </c>
      <c r="C2" s="182" t="str">
        <f>'1 Д 1 Н'!C2</f>
        <v>Директор МБОУ _____________</v>
      </c>
      <c r="D2" s="166"/>
      <c r="E2" s="166"/>
    </row>
    <row r="3" spans="1:5">
      <c r="A3" s="23" t="str">
        <f>'1 Д 1 Н'!A3</f>
        <v>_____________Н.Н.Клоков</v>
      </c>
      <c r="C3" s="182" t="str">
        <f>'1 Д 1 Н'!C3</f>
        <v>______________/______________/</v>
      </c>
      <c r="D3" s="166"/>
      <c r="E3" s="166"/>
    </row>
    <row r="4" spans="1:5">
      <c r="A4" s="23" t="str">
        <f>'1 Д 1 Н'!A4</f>
        <v>"___"______________2023 г</v>
      </c>
      <c r="C4" s="182" t="s">
        <v>68</v>
      </c>
      <c r="D4" s="166"/>
      <c r="E4" s="166"/>
    </row>
    <row r="8" spans="1:5" s="29" customFormat="1" ht="28.35" customHeight="1">
      <c r="B8" s="168" t="s">
        <v>151</v>
      </c>
      <c r="C8" s="168"/>
      <c r="D8" s="168"/>
      <c r="E8" s="45"/>
    </row>
    <row r="9" spans="1:5" ht="12" customHeight="1">
      <c r="A9" s="172" t="s">
        <v>27</v>
      </c>
      <c r="B9" s="162" t="s">
        <v>0</v>
      </c>
      <c r="C9" s="162" t="s">
        <v>1</v>
      </c>
      <c r="D9" s="162" t="s">
        <v>2</v>
      </c>
      <c r="E9" s="162" t="s">
        <v>70</v>
      </c>
    </row>
    <row r="10" spans="1:5" ht="15.75" thickBot="1">
      <c r="A10" s="173"/>
      <c r="B10" s="162"/>
      <c r="C10" s="162"/>
      <c r="D10" s="162"/>
      <c r="E10" s="162"/>
    </row>
    <row r="11" spans="1:5">
      <c r="A11" s="30">
        <v>1</v>
      </c>
      <c r="B11" s="128" t="s">
        <v>32</v>
      </c>
      <c r="C11" s="103">
        <v>100</v>
      </c>
      <c r="D11" s="94">
        <f>857*0.1</f>
        <v>85.7</v>
      </c>
      <c r="E11" s="57">
        <v>12</v>
      </c>
    </row>
    <row r="12" spans="1:5">
      <c r="A12" s="30">
        <v>2</v>
      </c>
      <c r="B12" s="128" t="s">
        <v>33</v>
      </c>
      <c r="C12" s="103">
        <v>200</v>
      </c>
      <c r="D12" s="94">
        <f>208*200/175</f>
        <v>237.71428571428572</v>
      </c>
      <c r="E12" s="15">
        <v>56</v>
      </c>
    </row>
    <row r="13" spans="1:5">
      <c r="A13" s="30">
        <v>3</v>
      </c>
      <c r="B13" s="128" t="s">
        <v>4</v>
      </c>
      <c r="C13" s="103">
        <v>180</v>
      </c>
      <c r="D13" s="9">
        <f>81*180/200</f>
        <v>72.900000000000006</v>
      </c>
      <c r="E13" s="15">
        <v>10</v>
      </c>
    </row>
    <row r="14" spans="1:5">
      <c r="A14" s="30">
        <v>4</v>
      </c>
      <c r="B14" s="128" t="s">
        <v>72</v>
      </c>
      <c r="C14" s="103">
        <v>100</v>
      </c>
      <c r="D14" s="94">
        <v>56.4</v>
      </c>
      <c r="E14" s="15">
        <v>10</v>
      </c>
    </row>
    <row r="15" spans="1:5">
      <c r="A15" s="30">
        <v>6</v>
      </c>
      <c r="B15" s="128" t="s">
        <v>5</v>
      </c>
      <c r="C15" s="103">
        <v>40</v>
      </c>
      <c r="D15" s="102">
        <v>94.7</v>
      </c>
      <c r="E15" s="15">
        <v>4</v>
      </c>
    </row>
    <row r="16" spans="1:5">
      <c r="A16" s="30">
        <v>7</v>
      </c>
      <c r="B16" s="129" t="s">
        <v>7</v>
      </c>
      <c r="C16" s="114">
        <f t="shared" ref="C16" si="0">SUM(C11:C15)</f>
        <v>620</v>
      </c>
      <c r="D16" s="108">
        <f t="shared" ref="D16" si="1">SUM(D11:D15)</f>
        <v>547.41428571428571</v>
      </c>
      <c r="E16" s="15">
        <f>SUM(E11:E15)</f>
        <v>92</v>
      </c>
    </row>
    <row r="17" spans="1:5">
      <c r="A17" s="29"/>
      <c r="B17" s="48"/>
      <c r="C17" s="50"/>
      <c r="D17" s="76"/>
    </row>
    <row r="18" spans="1:5">
      <c r="A18" s="29"/>
      <c r="B18" s="48"/>
      <c r="C18" s="50"/>
      <c r="D18" s="76"/>
    </row>
    <row r="19" spans="1:5" s="29" customFormat="1" ht="28.35" customHeight="1">
      <c r="B19" s="168" t="s">
        <v>151</v>
      </c>
      <c r="C19" s="168"/>
      <c r="D19" s="168"/>
      <c r="E19" s="45"/>
    </row>
    <row r="20" spans="1:5" ht="12" customHeight="1">
      <c r="A20" s="185" t="s">
        <v>27</v>
      </c>
      <c r="B20" s="169" t="s">
        <v>0</v>
      </c>
      <c r="C20" s="162" t="s">
        <v>1</v>
      </c>
      <c r="D20" s="162" t="s">
        <v>2</v>
      </c>
      <c r="E20" s="162" t="s">
        <v>70</v>
      </c>
    </row>
    <row r="21" spans="1:5" ht="12" customHeight="1" thickBot="1">
      <c r="A21" s="186"/>
      <c r="B21" s="169"/>
      <c r="C21" s="162"/>
      <c r="D21" s="162"/>
      <c r="E21" s="162"/>
    </row>
    <row r="22" spans="1:5">
      <c r="A22" s="51">
        <v>1</v>
      </c>
      <c r="B22" s="128" t="s">
        <v>181</v>
      </c>
      <c r="C22" s="103">
        <v>100</v>
      </c>
      <c r="D22" s="102">
        <v>133</v>
      </c>
      <c r="E22" s="57">
        <v>12</v>
      </c>
    </row>
    <row r="23" spans="1:5">
      <c r="A23" s="30">
        <v>2</v>
      </c>
      <c r="B23" s="128" t="s">
        <v>34</v>
      </c>
      <c r="C23" s="103">
        <v>250</v>
      </c>
      <c r="D23" s="102">
        <v>117.7</v>
      </c>
      <c r="E23" s="15">
        <v>22.4</v>
      </c>
    </row>
    <row r="24" spans="1:5" ht="25.5">
      <c r="A24" s="30">
        <v>3</v>
      </c>
      <c r="B24" s="3" t="s">
        <v>183</v>
      </c>
      <c r="C24" s="117">
        <v>250</v>
      </c>
      <c r="D24" s="9">
        <f>362.03*250/215</f>
        <v>420.96511627906978</v>
      </c>
      <c r="E24" s="15">
        <v>55</v>
      </c>
    </row>
    <row r="25" spans="1:5">
      <c r="A25" s="30">
        <v>4</v>
      </c>
      <c r="B25" s="128" t="s">
        <v>11</v>
      </c>
      <c r="C25" s="103">
        <v>200</v>
      </c>
      <c r="D25" s="9">
        <v>83.4</v>
      </c>
      <c r="E25" s="15">
        <v>10</v>
      </c>
    </row>
    <row r="26" spans="1:5">
      <c r="A26" s="30">
        <v>5</v>
      </c>
      <c r="B26" s="128" t="s">
        <v>5</v>
      </c>
      <c r="C26" s="103">
        <v>50</v>
      </c>
      <c r="D26" s="102">
        <v>118.4</v>
      </c>
      <c r="E26" s="15">
        <v>5</v>
      </c>
    </row>
    <row r="27" spans="1:5">
      <c r="A27" s="93">
        <v>6</v>
      </c>
      <c r="B27" s="138" t="s">
        <v>6</v>
      </c>
      <c r="C27" s="139">
        <v>30</v>
      </c>
      <c r="D27" s="140">
        <v>61.2</v>
      </c>
      <c r="E27" s="68">
        <v>4.5</v>
      </c>
    </row>
    <row r="28" spans="1:5">
      <c r="A28" s="141"/>
      <c r="B28" s="142" t="s">
        <v>7</v>
      </c>
      <c r="C28" s="143">
        <f>SUM(C22:C27)</f>
        <v>880</v>
      </c>
      <c r="D28" s="144">
        <f t="shared" ref="D28:E28" si="2">SUM(D22:D27)</f>
        <v>934.66511627906971</v>
      </c>
      <c r="E28" s="144">
        <f t="shared" si="2"/>
        <v>108.9</v>
      </c>
    </row>
    <row r="29" spans="1:5" s="29" customFormat="1" ht="28.35" customHeight="1">
      <c r="B29" s="168" t="s">
        <v>153</v>
      </c>
      <c r="C29" s="168"/>
      <c r="D29" s="168"/>
      <c r="E29" s="45"/>
    </row>
    <row r="30" spans="1:5">
      <c r="A30" s="183" t="s">
        <v>27</v>
      </c>
      <c r="B30" s="162" t="s">
        <v>0</v>
      </c>
      <c r="C30" s="162" t="s">
        <v>1</v>
      </c>
      <c r="D30" s="162" t="s">
        <v>2</v>
      </c>
      <c r="E30" s="162" t="s">
        <v>70</v>
      </c>
    </row>
    <row r="31" spans="1:5">
      <c r="A31" s="184"/>
      <c r="B31" s="162"/>
      <c r="C31" s="162"/>
      <c r="D31" s="162"/>
      <c r="E31" s="162"/>
    </row>
    <row r="32" spans="1:5" ht="30">
      <c r="A32" s="52">
        <v>1</v>
      </c>
      <c r="B32" s="128" t="s">
        <v>184</v>
      </c>
      <c r="C32" s="103">
        <v>200</v>
      </c>
      <c r="D32" s="14">
        <f>117.98*200/150</f>
        <v>157.30666666666667</v>
      </c>
      <c r="E32" s="72">
        <f>51.47-13</f>
        <v>38.47</v>
      </c>
    </row>
    <row r="33" spans="1:6">
      <c r="A33" s="30">
        <v>2</v>
      </c>
      <c r="B33" s="128" t="s">
        <v>20</v>
      </c>
      <c r="C33" s="103">
        <v>180</v>
      </c>
      <c r="D33" s="14">
        <f>503*0.18</f>
        <v>90.539999999999992</v>
      </c>
      <c r="E33" s="72">
        <v>10</v>
      </c>
    </row>
    <row r="34" spans="1:6">
      <c r="A34" s="30">
        <v>3</v>
      </c>
      <c r="B34" s="130" t="s">
        <v>6</v>
      </c>
      <c r="C34" s="103">
        <v>20</v>
      </c>
      <c r="D34" s="102">
        <v>40.799999999999997</v>
      </c>
      <c r="E34" s="72">
        <v>3</v>
      </c>
    </row>
    <row r="35" spans="1:6">
      <c r="A35" s="31"/>
      <c r="B35" s="129" t="s">
        <v>7</v>
      </c>
      <c r="C35" s="114">
        <f>SUM(C32:C34)</f>
        <v>400</v>
      </c>
      <c r="D35" s="108">
        <f t="shared" ref="D35" si="3">SUM(D32:D34)</f>
        <v>288.64666666666665</v>
      </c>
      <c r="E35" s="44">
        <f>SUM(E32:E34)</f>
        <v>51.47</v>
      </c>
    </row>
    <row r="36" spans="1:6" s="33" customFormat="1" ht="21.6" customHeight="1">
      <c r="A36" s="23"/>
      <c r="B36" s="23"/>
      <c r="C36" s="23"/>
      <c r="D36" s="98"/>
      <c r="E36" s="83"/>
    </row>
    <row r="37" spans="1:6">
      <c r="A37" s="38" t="str">
        <f>'1 Д 1 Н'!A38</f>
        <v xml:space="preserve">    Заведующий производством  _______________/  ______________/                              /</v>
      </c>
      <c r="B37" s="35"/>
      <c r="C37" s="41"/>
      <c r="D37" s="42"/>
    </row>
    <row r="38" spans="1:6" s="29" customFormat="1" ht="21.6" customHeight="1">
      <c r="A38" s="171" t="s">
        <v>74</v>
      </c>
      <c r="B38" s="166"/>
      <c r="C38" s="166"/>
      <c r="D38" s="166"/>
      <c r="E38" s="166"/>
      <c r="F38" s="34"/>
    </row>
    <row r="39" spans="1:6">
      <c r="A39" s="78" t="s">
        <v>75</v>
      </c>
      <c r="E39" s="77"/>
      <c r="F39" s="54"/>
    </row>
  </sheetData>
  <mergeCells count="23">
    <mergeCell ref="A38:E38"/>
    <mergeCell ref="A9:A10"/>
    <mergeCell ref="B9:B10"/>
    <mergeCell ref="C9:C10"/>
    <mergeCell ref="D9:D10"/>
    <mergeCell ref="A30:A31"/>
    <mergeCell ref="B20:B21"/>
    <mergeCell ref="C20:C21"/>
    <mergeCell ref="D20:D21"/>
    <mergeCell ref="A20:A21"/>
    <mergeCell ref="B30:B31"/>
    <mergeCell ref="C30:C31"/>
    <mergeCell ref="D30:D31"/>
    <mergeCell ref="E9:E10"/>
    <mergeCell ref="E20:E21"/>
    <mergeCell ref="E30:E31"/>
    <mergeCell ref="B29:D29"/>
    <mergeCell ref="B8:D8"/>
    <mergeCell ref="D1:E1"/>
    <mergeCell ref="C2:E2"/>
    <mergeCell ref="C3:E3"/>
    <mergeCell ref="C4:E4"/>
    <mergeCell ref="B19:D19"/>
  </mergeCells>
  <pageMargins left="0.70866141732283472" right="0.70866141732283472" top="0.3937007874015748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opLeftCell="A19" workbookViewId="0">
      <selection activeCell="B30" sqref="B30:D30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16384" width="8.85546875" style="23"/>
  </cols>
  <sheetData>
    <row r="1" spans="1:5">
      <c r="A1" s="23" t="str">
        <f>'1 Д 1 Н'!A1</f>
        <v>Утверждаю</v>
      </c>
      <c r="D1" s="98" t="str">
        <f>'1 Д 1 Н'!D1</f>
        <v>Согласовано</v>
      </c>
    </row>
    <row r="2" spans="1:5">
      <c r="A2" s="23" t="str">
        <f>'1 Д 1 Н'!A2</f>
        <v>Директор ООО "ВитаЛайн"</v>
      </c>
      <c r="D2" s="98" t="str">
        <f>'1 Д 1 Н'!C2</f>
        <v>Директор МБОУ _____________</v>
      </c>
    </row>
    <row r="3" spans="1:5">
      <c r="A3" s="23" t="str">
        <f>'1 Д 1 Н'!A3</f>
        <v>_____________Н.Н.Клоков</v>
      </c>
      <c r="D3" s="98" t="str">
        <f>'1 Д 1 Н'!C3</f>
        <v>______________/______________/</v>
      </c>
    </row>
    <row r="4" spans="1:5">
      <c r="A4" s="23" t="str">
        <f>'1 Д 1 Н'!A4</f>
        <v>"___"______________2023 г</v>
      </c>
      <c r="D4" s="98" t="s">
        <v>69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72" t="s">
        <v>27</v>
      </c>
      <c r="B9" s="162" t="s">
        <v>0</v>
      </c>
      <c r="C9" s="162" t="s">
        <v>1</v>
      </c>
      <c r="D9" s="162" t="s">
        <v>2</v>
      </c>
      <c r="E9" s="162" t="s">
        <v>70</v>
      </c>
    </row>
    <row r="10" spans="1:5" ht="15.75" thickBot="1">
      <c r="A10" s="173"/>
      <c r="B10" s="162"/>
      <c r="C10" s="162"/>
      <c r="D10" s="162"/>
      <c r="E10" s="162"/>
    </row>
    <row r="11" spans="1:5" ht="30">
      <c r="A11" s="30">
        <v>1</v>
      </c>
      <c r="B11" s="128" t="s">
        <v>35</v>
      </c>
      <c r="C11" s="103">
        <v>100</v>
      </c>
      <c r="D11" s="94">
        <f>792*0.1</f>
        <v>79.2</v>
      </c>
      <c r="E11" s="57">
        <v>12</v>
      </c>
    </row>
    <row r="12" spans="1:5">
      <c r="A12" s="30">
        <v>2</v>
      </c>
      <c r="B12" s="128" t="s">
        <v>81</v>
      </c>
      <c r="C12" s="103">
        <v>200</v>
      </c>
      <c r="D12" s="9">
        <f>231*200/150</f>
        <v>308</v>
      </c>
      <c r="E12" s="15">
        <v>50</v>
      </c>
    </row>
    <row r="13" spans="1:5" ht="30">
      <c r="A13" s="30">
        <v>3</v>
      </c>
      <c r="B13" s="128" t="s">
        <v>26</v>
      </c>
      <c r="C13" s="103">
        <v>200</v>
      </c>
      <c r="D13" s="9">
        <f>596*0.2</f>
        <v>119.2</v>
      </c>
      <c r="E13" s="15">
        <v>10</v>
      </c>
    </row>
    <row r="14" spans="1:5">
      <c r="A14" s="30">
        <v>4</v>
      </c>
      <c r="B14" s="128" t="s">
        <v>5</v>
      </c>
      <c r="C14" s="103">
        <v>30</v>
      </c>
      <c r="D14" s="102">
        <v>71</v>
      </c>
      <c r="E14" s="15">
        <v>3</v>
      </c>
    </row>
    <row r="15" spans="1:5">
      <c r="A15" s="30">
        <v>5</v>
      </c>
      <c r="B15" s="128" t="s">
        <v>6</v>
      </c>
      <c r="C15" s="103">
        <v>20</v>
      </c>
      <c r="D15" s="102">
        <v>40.799999999999997</v>
      </c>
      <c r="E15" s="68">
        <v>3</v>
      </c>
    </row>
    <row r="16" spans="1:5" s="26" customFormat="1" ht="14.25">
      <c r="A16" s="31"/>
      <c r="B16" s="129" t="s">
        <v>7</v>
      </c>
      <c r="C16" s="114">
        <f t="shared" ref="C16" si="0">SUM(C11:C15)</f>
        <v>550</v>
      </c>
      <c r="D16" s="108">
        <f t="shared" ref="D16" si="1">SUM(D11:D15)</f>
        <v>618.19999999999993</v>
      </c>
      <c r="E16" s="60">
        <f>SUM(E11:E15)</f>
        <v>78</v>
      </c>
    </row>
    <row r="17" spans="1:5">
      <c r="A17" s="29"/>
      <c r="B17" s="48"/>
      <c r="C17" s="50"/>
      <c r="D17" s="76"/>
    </row>
    <row r="18" spans="1:5">
      <c r="A18" s="29"/>
      <c r="B18" s="48"/>
      <c r="C18" s="50"/>
      <c r="D18" s="76"/>
    </row>
    <row r="19" spans="1:5" s="29" customFormat="1" ht="28.35" customHeight="1">
      <c r="B19" s="168" t="s">
        <v>152</v>
      </c>
      <c r="C19" s="168"/>
      <c r="D19" s="168"/>
      <c r="E19" s="45"/>
    </row>
    <row r="20" spans="1:5">
      <c r="A20" s="185" t="s">
        <v>27</v>
      </c>
      <c r="B20" s="169" t="s">
        <v>0</v>
      </c>
      <c r="C20" s="162" t="s">
        <v>1</v>
      </c>
      <c r="D20" s="162" t="s">
        <v>2</v>
      </c>
      <c r="E20" s="162" t="s">
        <v>70</v>
      </c>
    </row>
    <row r="21" spans="1:5">
      <c r="A21" s="186"/>
      <c r="B21" s="169"/>
      <c r="C21" s="162"/>
      <c r="D21" s="162"/>
      <c r="E21" s="162"/>
    </row>
    <row r="22" spans="1:5" ht="30">
      <c r="A22" s="51">
        <v>1</v>
      </c>
      <c r="B22" s="128" t="s">
        <v>37</v>
      </c>
      <c r="C22" s="103">
        <v>100</v>
      </c>
      <c r="D22" s="94">
        <f>1340*0.1</f>
        <v>134</v>
      </c>
      <c r="E22" s="148">
        <v>12.5</v>
      </c>
    </row>
    <row r="23" spans="1:5">
      <c r="A23" s="30">
        <v>2</v>
      </c>
      <c r="B23" s="128" t="s">
        <v>36</v>
      </c>
      <c r="C23" s="103">
        <v>250</v>
      </c>
      <c r="D23" s="94">
        <f>320*0.25</f>
        <v>80</v>
      </c>
      <c r="E23" s="148">
        <v>22</v>
      </c>
    </row>
    <row r="24" spans="1:5" ht="30">
      <c r="A24" s="30">
        <v>3</v>
      </c>
      <c r="B24" s="128" t="s">
        <v>189</v>
      </c>
      <c r="C24" s="103">
        <v>200</v>
      </c>
      <c r="D24" s="94">
        <f>189*200/80</f>
        <v>472.5</v>
      </c>
      <c r="E24" s="148">
        <f>47.17+7.5</f>
        <v>54.67</v>
      </c>
    </row>
    <row r="25" spans="1:5" ht="30">
      <c r="A25" s="30">
        <v>5</v>
      </c>
      <c r="B25" s="128" t="s">
        <v>78</v>
      </c>
      <c r="C25" s="103">
        <v>180</v>
      </c>
      <c r="D25" s="94">
        <f>100*180/200</f>
        <v>90</v>
      </c>
      <c r="E25" s="148">
        <f>6*25/15</f>
        <v>10</v>
      </c>
    </row>
    <row r="26" spans="1:5">
      <c r="A26" s="30">
        <v>6</v>
      </c>
      <c r="B26" s="128" t="s">
        <v>5</v>
      </c>
      <c r="C26" s="103">
        <v>40</v>
      </c>
      <c r="D26" s="102">
        <v>94.7</v>
      </c>
      <c r="E26" s="148">
        <v>4</v>
      </c>
    </row>
    <row r="27" spans="1:5">
      <c r="A27" s="30">
        <v>7</v>
      </c>
      <c r="B27" s="128" t="s">
        <v>6</v>
      </c>
      <c r="C27" s="103">
        <v>30</v>
      </c>
      <c r="D27" s="102">
        <v>61.2</v>
      </c>
      <c r="E27" s="148">
        <v>4.5</v>
      </c>
    </row>
    <row r="28" spans="1:5">
      <c r="A28" s="31">
        <v>8</v>
      </c>
      <c r="B28" s="129" t="s">
        <v>7</v>
      </c>
      <c r="C28" s="112">
        <f t="shared" ref="C28" si="2">SUM(C22:C27)</f>
        <v>800</v>
      </c>
      <c r="D28" s="108">
        <f t="shared" ref="D28" si="3">SUM(D22:D27)</f>
        <v>932.40000000000009</v>
      </c>
      <c r="E28" s="148">
        <f>SUM(E22:E27)</f>
        <v>107.67</v>
      </c>
    </row>
    <row r="29" spans="1:5">
      <c r="A29" s="29"/>
      <c r="B29" s="48"/>
      <c r="C29" s="50"/>
      <c r="D29" s="76"/>
      <c r="E29" s="148"/>
    </row>
    <row r="30" spans="1:5" s="29" customFormat="1" ht="28.35" customHeight="1">
      <c r="B30" s="168" t="s">
        <v>153</v>
      </c>
      <c r="C30" s="168"/>
      <c r="D30" s="168"/>
      <c r="E30" s="45"/>
    </row>
    <row r="31" spans="1:5">
      <c r="A31" s="183" t="s">
        <v>27</v>
      </c>
      <c r="B31" s="162" t="s">
        <v>0</v>
      </c>
      <c r="C31" s="162" t="s">
        <v>1</v>
      </c>
      <c r="D31" s="162" t="s">
        <v>2</v>
      </c>
      <c r="E31" s="162" t="s">
        <v>70</v>
      </c>
    </row>
    <row r="32" spans="1:5">
      <c r="A32" s="184"/>
      <c r="B32" s="162"/>
      <c r="C32" s="162"/>
      <c r="D32" s="162"/>
      <c r="E32" s="187"/>
    </row>
    <row r="33" spans="1:6">
      <c r="A33" s="52">
        <v>1</v>
      </c>
      <c r="B33" s="128" t="s">
        <v>190</v>
      </c>
      <c r="C33" s="103">
        <v>180</v>
      </c>
      <c r="D33" s="94">
        <f>652*0.18</f>
        <v>117.36</v>
      </c>
      <c r="E33" s="53">
        <v>15</v>
      </c>
    </row>
    <row r="34" spans="1:6">
      <c r="A34" s="30">
        <v>2</v>
      </c>
      <c r="B34" s="128" t="s">
        <v>191</v>
      </c>
      <c r="C34" s="103">
        <v>130</v>
      </c>
      <c r="D34" s="94">
        <f>113*100/80</f>
        <v>141.25</v>
      </c>
      <c r="E34" s="53">
        <f>51.47-28</f>
        <v>23.47</v>
      </c>
    </row>
    <row r="35" spans="1:6">
      <c r="A35" s="30">
        <v>3</v>
      </c>
      <c r="B35" s="128" t="s">
        <v>38</v>
      </c>
      <c r="C35" s="103">
        <v>180</v>
      </c>
      <c r="D35" s="9">
        <f>593*0.18</f>
        <v>106.74</v>
      </c>
      <c r="E35" s="53">
        <v>10</v>
      </c>
    </row>
    <row r="36" spans="1:6">
      <c r="A36" s="30">
        <v>4</v>
      </c>
      <c r="B36" s="128" t="s">
        <v>6</v>
      </c>
      <c r="C36" s="103">
        <v>20</v>
      </c>
      <c r="D36" s="102">
        <v>40.799999999999997</v>
      </c>
      <c r="E36" s="53">
        <v>3</v>
      </c>
    </row>
    <row r="37" spans="1:6" s="26" customFormat="1" ht="14.25">
      <c r="A37" s="31"/>
      <c r="B37" s="129" t="s">
        <v>7</v>
      </c>
      <c r="C37" s="114">
        <f t="shared" ref="C37" si="4">SUM(C33:C36)</f>
        <v>510</v>
      </c>
      <c r="D37" s="108">
        <f t="shared" ref="D37" si="5">SUM(D33:D36)</f>
        <v>406.15000000000003</v>
      </c>
      <c r="E37" s="47">
        <f>SUM(E33:E36)</f>
        <v>51.47</v>
      </c>
    </row>
    <row r="38" spans="1:6" s="26" customFormat="1" ht="14.25">
      <c r="A38" s="34"/>
      <c r="B38" s="35"/>
      <c r="C38" s="36"/>
      <c r="D38" s="42"/>
    </row>
    <row r="39" spans="1:6" s="26" customFormat="1" ht="14.25">
      <c r="A39" s="34"/>
      <c r="B39" s="35"/>
      <c r="C39" s="36"/>
      <c r="D39" s="42"/>
    </row>
    <row r="41" spans="1:6">
      <c r="A41" s="38" t="str">
        <f>'1 Д 1 Н'!A38</f>
        <v xml:space="preserve">    Заведующий производством  _______________/  ______________/                              /</v>
      </c>
      <c r="B41" s="35"/>
      <c r="C41" s="41"/>
      <c r="D41" s="42"/>
    </row>
    <row r="42" spans="1:6" s="29" customFormat="1" ht="21.6" customHeight="1">
      <c r="A42" s="171" t="s">
        <v>74</v>
      </c>
      <c r="B42" s="166"/>
      <c r="C42" s="166"/>
      <c r="D42" s="166"/>
      <c r="E42" s="166"/>
      <c r="F42" s="34"/>
    </row>
    <row r="43" spans="1:6">
      <c r="A43" s="78" t="s">
        <v>75</v>
      </c>
      <c r="E43" s="77"/>
      <c r="F43" s="54"/>
    </row>
  </sheetData>
  <mergeCells count="19">
    <mergeCell ref="B20:B21"/>
    <mergeCell ref="C20:C21"/>
    <mergeCell ref="D20:D21"/>
    <mergeCell ref="B30:D30"/>
    <mergeCell ref="A42:E42"/>
    <mergeCell ref="B8:D8"/>
    <mergeCell ref="A9:A10"/>
    <mergeCell ref="B9:B10"/>
    <mergeCell ref="C9:C10"/>
    <mergeCell ref="D9:D10"/>
    <mergeCell ref="E9:E10"/>
    <mergeCell ref="E20:E21"/>
    <mergeCell ref="E31:E32"/>
    <mergeCell ref="A31:A32"/>
    <mergeCell ref="B31:B32"/>
    <mergeCell ref="C31:C32"/>
    <mergeCell ref="D31:D32"/>
    <mergeCell ref="B19:D19"/>
    <mergeCell ref="A20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opLeftCell="A22" workbookViewId="0">
      <selection activeCell="B19" sqref="B19:D19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16384" width="8.85546875" style="23"/>
  </cols>
  <sheetData>
    <row r="1" spans="1:5">
      <c r="A1" s="23" t="str">
        <f>'1 Д 1 Н'!A1</f>
        <v>Утверждаю</v>
      </c>
      <c r="D1" s="98" t="str">
        <f>'1 Д 1 Н'!D1</f>
        <v>Согласовано</v>
      </c>
    </row>
    <row r="2" spans="1:5">
      <c r="A2" s="23" t="str">
        <f>'1 Д 1 Н'!A2</f>
        <v>Директор ООО "ВитаЛайн"</v>
      </c>
      <c r="D2" s="98" t="str">
        <f>'1 Д 1 Н'!C2</f>
        <v>Директор МБОУ _____________</v>
      </c>
    </row>
    <row r="3" spans="1:5">
      <c r="A3" s="23" t="str">
        <f>'1 Д 1 Н'!A3</f>
        <v>_____________Н.Н.Клоков</v>
      </c>
      <c r="D3" s="98" t="str">
        <f>'1 Д 1 Н'!C3</f>
        <v>______________/______________/</v>
      </c>
    </row>
    <row r="4" spans="1:5">
      <c r="A4" s="23" t="str">
        <f>'1 Д 1 Н'!A4</f>
        <v>"___"______________2023 г</v>
      </c>
      <c r="D4" s="98" t="s">
        <v>69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72" t="s">
        <v>27</v>
      </c>
      <c r="B9" s="162" t="s">
        <v>0</v>
      </c>
      <c r="C9" s="162" t="s">
        <v>1</v>
      </c>
      <c r="D9" s="162" t="s">
        <v>2</v>
      </c>
      <c r="E9" s="162" t="s">
        <v>70</v>
      </c>
    </row>
    <row r="10" spans="1:5" ht="15.75" thickBot="1">
      <c r="A10" s="173"/>
      <c r="B10" s="162"/>
      <c r="C10" s="162"/>
      <c r="D10" s="162"/>
      <c r="E10" s="162"/>
    </row>
    <row r="11" spans="1:5" ht="30">
      <c r="A11" s="92">
        <v>1</v>
      </c>
      <c r="B11" s="128" t="s">
        <v>194</v>
      </c>
      <c r="C11" s="103">
        <v>220</v>
      </c>
      <c r="D11" s="102">
        <f>312*220/210</f>
        <v>326.85714285714283</v>
      </c>
      <c r="E11" s="57">
        <v>40</v>
      </c>
    </row>
    <row r="12" spans="1:5" ht="30">
      <c r="A12" s="92">
        <v>2</v>
      </c>
      <c r="B12" s="128" t="s">
        <v>196</v>
      </c>
      <c r="C12" s="103">
        <v>80</v>
      </c>
      <c r="D12" s="102">
        <f>205*80/75</f>
        <v>218.66666666666666</v>
      </c>
      <c r="E12" s="15">
        <v>25</v>
      </c>
    </row>
    <row r="13" spans="1:5">
      <c r="A13" s="92">
        <v>3</v>
      </c>
      <c r="B13" s="128" t="s">
        <v>43</v>
      </c>
      <c r="C13" s="103">
        <v>200</v>
      </c>
      <c r="D13" s="102">
        <v>62</v>
      </c>
      <c r="E13" s="15">
        <v>10</v>
      </c>
    </row>
    <row r="14" spans="1:5">
      <c r="A14" s="92">
        <v>4</v>
      </c>
      <c r="B14" s="128" t="s">
        <v>5</v>
      </c>
      <c r="C14" s="103">
        <v>30</v>
      </c>
      <c r="D14" s="102">
        <v>71</v>
      </c>
      <c r="E14" s="15">
        <v>3</v>
      </c>
    </row>
    <row r="15" spans="1:5">
      <c r="A15" s="92">
        <v>5</v>
      </c>
      <c r="B15" s="128" t="s">
        <v>6</v>
      </c>
      <c r="C15" s="103">
        <v>20</v>
      </c>
      <c r="D15" s="102">
        <v>40.799999999999997</v>
      </c>
      <c r="E15" s="68">
        <v>3</v>
      </c>
    </row>
    <row r="16" spans="1:5" s="26" customFormat="1" ht="14.25">
      <c r="A16" s="31"/>
      <c r="B16" s="129" t="s">
        <v>7</v>
      </c>
      <c r="C16" s="114">
        <f>SUM(C11:C15)</f>
        <v>550</v>
      </c>
      <c r="D16" s="108">
        <f t="shared" ref="D16" si="0">SUM(D11:D15)</f>
        <v>719.32380952380947</v>
      </c>
      <c r="E16" s="60">
        <f>SUM(E11:E15)</f>
        <v>81</v>
      </c>
    </row>
    <row r="17" spans="1:5">
      <c r="A17" s="29"/>
      <c r="B17" s="48"/>
      <c r="C17" s="50"/>
      <c r="D17" s="76"/>
    </row>
    <row r="18" spans="1:5">
      <c r="A18" s="29"/>
      <c r="B18" s="48"/>
      <c r="C18" s="50"/>
      <c r="D18" s="76"/>
    </row>
    <row r="19" spans="1:5" s="29" customFormat="1" ht="28.35" customHeight="1">
      <c r="B19" s="168" t="s">
        <v>152</v>
      </c>
      <c r="C19" s="168"/>
      <c r="D19" s="168"/>
      <c r="E19" s="45"/>
    </row>
    <row r="20" spans="1:5">
      <c r="A20" s="185" t="s">
        <v>27</v>
      </c>
      <c r="B20" s="169" t="s">
        <v>0</v>
      </c>
      <c r="C20" s="162" t="s">
        <v>1</v>
      </c>
      <c r="D20" s="162" t="s">
        <v>2</v>
      </c>
      <c r="E20" s="162" t="s">
        <v>70</v>
      </c>
    </row>
    <row r="21" spans="1:5" ht="15.75" thickBot="1">
      <c r="A21" s="186"/>
      <c r="B21" s="169"/>
      <c r="C21" s="162"/>
      <c r="D21" s="162"/>
      <c r="E21" s="162"/>
    </row>
    <row r="22" spans="1:5" ht="30">
      <c r="A22" s="90">
        <v>1</v>
      </c>
      <c r="B22" s="128" t="s">
        <v>56</v>
      </c>
      <c r="C22" s="111">
        <v>100</v>
      </c>
      <c r="D22" s="102">
        <f>901*0.1</f>
        <v>90.100000000000009</v>
      </c>
      <c r="E22" s="59">
        <v>12</v>
      </c>
    </row>
    <row r="23" spans="1:5">
      <c r="A23" s="92">
        <v>2</v>
      </c>
      <c r="B23" s="128" t="s">
        <v>198</v>
      </c>
      <c r="C23" s="111">
        <v>250</v>
      </c>
      <c r="D23" s="102">
        <v>112.4</v>
      </c>
      <c r="E23" s="60">
        <v>22</v>
      </c>
    </row>
    <row r="24" spans="1:5">
      <c r="A24" s="92">
        <v>3</v>
      </c>
      <c r="B24" s="128" t="s">
        <v>33</v>
      </c>
      <c r="C24" s="111">
        <v>200</v>
      </c>
      <c r="D24" s="102">
        <f>208*200/175</f>
        <v>237.71428571428572</v>
      </c>
      <c r="E24" s="60">
        <v>64</v>
      </c>
    </row>
    <row r="25" spans="1:5">
      <c r="A25" s="92">
        <v>5</v>
      </c>
      <c r="B25" s="128" t="s">
        <v>49</v>
      </c>
      <c r="C25" s="111">
        <v>200</v>
      </c>
      <c r="D25" s="102">
        <f>564*0.2</f>
        <v>112.80000000000001</v>
      </c>
      <c r="E25" s="60">
        <v>10</v>
      </c>
    </row>
    <row r="26" spans="1:5">
      <c r="A26" s="92">
        <v>6</v>
      </c>
      <c r="B26" s="128" t="s">
        <v>5</v>
      </c>
      <c r="C26" s="111">
        <v>40</v>
      </c>
      <c r="D26" s="102">
        <f>165.8*40/70</f>
        <v>94.742857142857147</v>
      </c>
      <c r="E26" s="60">
        <v>4</v>
      </c>
    </row>
    <row r="27" spans="1:5">
      <c r="A27" s="92">
        <v>7</v>
      </c>
      <c r="B27" s="128" t="s">
        <v>6</v>
      </c>
      <c r="C27" s="111">
        <v>40</v>
      </c>
      <c r="D27" s="102">
        <v>81.599999999999994</v>
      </c>
      <c r="E27" s="60">
        <f>4.5*40/30</f>
        <v>6</v>
      </c>
    </row>
    <row r="28" spans="1:5">
      <c r="A28" s="31">
        <v>8</v>
      </c>
      <c r="B28" s="129" t="s">
        <v>7</v>
      </c>
      <c r="C28" s="112">
        <f t="shared" ref="C28" si="1">SUM(C22:C27)</f>
        <v>830</v>
      </c>
      <c r="D28" s="108">
        <f t="shared" ref="D28" si="2">SUM(D22:D27)</f>
        <v>729.35714285714289</v>
      </c>
      <c r="E28" s="60">
        <f>SUM(E22:E27)</f>
        <v>118</v>
      </c>
    </row>
    <row r="29" spans="1:5">
      <c r="A29" s="29"/>
      <c r="B29" s="48"/>
      <c r="C29" s="50"/>
      <c r="D29" s="76"/>
    </row>
    <row r="30" spans="1:5" s="26" customFormat="1" ht="14.25">
      <c r="A30" s="34"/>
      <c r="B30" s="35"/>
      <c r="C30" s="36"/>
      <c r="D30" s="42"/>
    </row>
    <row r="32" spans="1:5">
      <c r="A32" s="38" t="str">
        <f>'1 Д 1 Н'!A38</f>
        <v xml:space="preserve">    Заведующий производством  _______________/  ______________/                              /</v>
      </c>
      <c r="B32" s="35"/>
      <c r="C32" s="87"/>
      <c r="D32" s="42"/>
    </row>
    <row r="33" spans="1:6" s="29" customFormat="1" ht="21.6" customHeight="1">
      <c r="A33" s="171" t="s">
        <v>74</v>
      </c>
      <c r="B33" s="166"/>
      <c r="C33" s="166"/>
      <c r="D33" s="166"/>
      <c r="E33" s="166"/>
      <c r="F33" s="34"/>
    </row>
    <row r="34" spans="1:6">
      <c r="A34" s="78" t="s">
        <v>75</v>
      </c>
      <c r="E34" s="77"/>
      <c r="F34" s="54"/>
    </row>
  </sheetData>
  <mergeCells count="13">
    <mergeCell ref="A33:E33"/>
    <mergeCell ref="E20:E21"/>
    <mergeCell ref="B8:D8"/>
    <mergeCell ref="A9:A10"/>
    <mergeCell ref="B9:B10"/>
    <mergeCell ref="C9:C10"/>
    <mergeCell ref="D9:D10"/>
    <mergeCell ref="E9:E10"/>
    <mergeCell ref="B19:D19"/>
    <mergeCell ref="A20:A21"/>
    <mergeCell ref="B20:B21"/>
    <mergeCell ref="C20:C21"/>
    <mergeCell ref="D20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topLeftCell="A19" workbookViewId="0">
      <selection activeCell="B33" sqref="B33:D33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16384" width="8.85546875" style="23"/>
  </cols>
  <sheetData>
    <row r="1" spans="1:5">
      <c r="A1" s="23" t="str">
        <f>'1 Д 1 Н'!A1</f>
        <v>Утверждаю</v>
      </c>
      <c r="D1" s="98" t="str">
        <f>'5Д 1Н'!D1</f>
        <v>Согласовано</v>
      </c>
    </row>
    <row r="2" spans="1:5">
      <c r="A2" s="23" t="str">
        <f>'1 Д 1 Н'!A2</f>
        <v>Директор ООО "ВитаЛайн"</v>
      </c>
      <c r="D2" s="98" t="str">
        <f>'5Д 1Н'!D2</f>
        <v>Директор МБОУ _____________</v>
      </c>
    </row>
    <row r="3" spans="1:5">
      <c r="A3" s="23" t="str">
        <f>'1 Д 1 Н'!A3</f>
        <v>_____________Н.Н.Клоков</v>
      </c>
      <c r="D3" s="98" t="str">
        <f>'5Д 1Н'!D3</f>
        <v>______________/______________/</v>
      </c>
    </row>
    <row r="4" spans="1:5">
      <c r="A4" s="23" t="str">
        <f>'1 Д 1 Н'!A4</f>
        <v>"___"______________2023 г</v>
      </c>
      <c r="D4" s="98" t="str">
        <f>'5Д 1Н'!D4</f>
        <v>"_____"__________________2023 г.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72" t="s">
        <v>27</v>
      </c>
      <c r="B9" s="162" t="s">
        <v>0</v>
      </c>
      <c r="C9" s="162" t="s">
        <v>1</v>
      </c>
      <c r="D9" s="162" t="s">
        <v>2</v>
      </c>
      <c r="E9" s="162" t="s">
        <v>70</v>
      </c>
    </row>
    <row r="10" spans="1:5" ht="15.75" thickBot="1">
      <c r="A10" s="173"/>
      <c r="B10" s="162"/>
      <c r="C10" s="162"/>
      <c r="D10" s="162"/>
      <c r="E10" s="187"/>
    </row>
    <row r="11" spans="1:5" ht="30">
      <c r="A11" s="30">
        <v>1</v>
      </c>
      <c r="B11" s="128" t="s">
        <v>201</v>
      </c>
      <c r="C11" s="103">
        <v>100</v>
      </c>
      <c r="D11" s="94">
        <f>10*0.1</f>
        <v>1</v>
      </c>
      <c r="E11" s="59">
        <v>12</v>
      </c>
    </row>
    <row r="12" spans="1:5" ht="13.9" customHeight="1">
      <c r="A12" s="30">
        <v>2</v>
      </c>
      <c r="B12" s="128" t="s">
        <v>39</v>
      </c>
      <c r="C12" s="103">
        <v>180</v>
      </c>
      <c r="D12" s="94">
        <f>915*0.18</f>
        <v>164.7</v>
      </c>
      <c r="E12" s="60">
        <v>18</v>
      </c>
    </row>
    <row r="13" spans="1:5" ht="30">
      <c r="A13" s="30">
        <v>3</v>
      </c>
      <c r="B13" s="128" t="s">
        <v>93</v>
      </c>
      <c r="C13" s="103">
        <v>100</v>
      </c>
      <c r="D13" s="9">
        <f>143.1*100/90</f>
        <v>159</v>
      </c>
      <c r="E13" s="60">
        <v>50</v>
      </c>
    </row>
    <row r="14" spans="1:5">
      <c r="A14" s="30">
        <v>4</v>
      </c>
      <c r="B14" s="128" t="s">
        <v>59</v>
      </c>
      <c r="C14" s="103">
        <v>180</v>
      </c>
      <c r="D14" s="9">
        <f>146.6*180/200</f>
        <v>131.94</v>
      </c>
      <c r="E14" s="60">
        <v>10</v>
      </c>
    </row>
    <row r="15" spans="1:5">
      <c r="A15" s="30">
        <v>6</v>
      </c>
      <c r="B15" s="128" t="s">
        <v>5</v>
      </c>
      <c r="C15" s="103">
        <v>40</v>
      </c>
      <c r="D15" s="102">
        <v>94.7</v>
      </c>
      <c r="E15" s="60">
        <v>4</v>
      </c>
    </row>
    <row r="16" spans="1:5">
      <c r="A16" s="93">
        <v>7</v>
      </c>
      <c r="B16" s="138" t="s">
        <v>6</v>
      </c>
      <c r="C16" s="139">
        <v>20</v>
      </c>
      <c r="D16" s="140">
        <v>40.799999999999997</v>
      </c>
      <c r="E16" s="147">
        <v>3</v>
      </c>
    </row>
    <row r="17" spans="1:5">
      <c r="A17" s="141"/>
      <c r="B17" s="142" t="s">
        <v>7</v>
      </c>
      <c r="C17" s="146">
        <f>SUM(C11:C16)</f>
        <v>620</v>
      </c>
      <c r="D17" s="144">
        <f t="shared" ref="D17" si="0">SUM(D11:D16)</f>
        <v>592.14</v>
      </c>
      <c r="E17" s="148">
        <f>SUM(E11:E16)</f>
        <v>97</v>
      </c>
    </row>
    <row r="18" spans="1:5">
      <c r="A18" s="29"/>
      <c r="B18" s="48"/>
      <c r="C18" s="50"/>
      <c r="D18" s="76"/>
    </row>
    <row r="19" spans="1:5" s="29" customFormat="1" ht="28.35" customHeight="1">
      <c r="B19" s="168" t="s">
        <v>152</v>
      </c>
      <c r="C19" s="168"/>
      <c r="D19" s="168"/>
      <c r="E19" s="45"/>
    </row>
    <row r="20" spans="1:5">
      <c r="A20" s="185" t="s">
        <v>27</v>
      </c>
      <c r="B20" s="169" t="s">
        <v>0</v>
      </c>
      <c r="C20" s="162" t="s">
        <v>1</v>
      </c>
      <c r="D20" s="162" t="s">
        <v>2</v>
      </c>
      <c r="E20" s="162" t="s">
        <v>70</v>
      </c>
    </row>
    <row r="21" spans="1:5">
      <c r="A21" s="186"/>
      <c r="B21" s="169"/>
      <c r="C21" s="162"/>
      <c r="D21" s="162"/>
      <c r="E21" s="187"/>
    </row>
    <row r="22" spans="1:5">
      <c r="A22" s="51">
        <v>1</v>
      </c>
      <c r="B22" s="128" t="s">
        <v>203</v>
      </c>
      <c r="C22" s="103">
        <v>100</v>
      </c>
      <c r="D22" s="136">
        <v>54</v>
      </c>
      <c r="E22" s="60">
        <v>12</v>
      </c>
    </row>
    <row r="23" spans="1:5">
      <c r="A23" s="30">
        <v>2</v>
      </c>
      <c r="B23" s="128" t="s">
        <v>205</v>
      </c>
      <c r="C23" s="103">
        <v>250</v>
      </c>
      <c r="D23" s="136">
        <f>381*0.25</f>
        <v>95.25</v>
      </c>
      <c r="E23" s="60">
        <v>22</v>
      </c>
    </row>
    <row r="24" spans="1:5">
      <c r="A24" s="30">
        <v>3</v>
      </c>
      <c r="B24" s="128" t="s">
        <v>40</v>
      </c>
      <c r="C24" s="103">
        <v>180</v>
      </c>
      <c r="D24" s="136">
        <f>209*180/125</f>
        <v>300.95999999999998</v>
      </c>
      <c r="E24" s="60">
        <v>20</v>
      </c>
    </row>
    <row r="25" spans="1:5">
      <c r="A25" s="30">
        <v>4</v>
      </c>
      <c r="B25" s="128" t="s">
        <v>82</v>
      </c>
      <c r="C25" s="103">
        <v>110</v>
      </c>
      <c r="D25" s="14">
        <f>221*110/100</f>
        <v>243.1</v>
      </c>
      <c r="E25" s="60">
        <v>52</v>
      </c>
    </row>
    <row r="26" spans="1:5">
      <c r="A26" s="30">
        <v>5</v>
      </c>
      <c r="B26" s="128" t="s">
        <v>38</v>
      </c>
      <c r="C26" s="106">
        <v>180</v>
      </c>
      <c r="D26" s="14">
        <f>593*0.18</f>
        <v>106.74</v>
      </c>
      <c r="E26" s="60">
        <v>10</v>
      </c>
    </row>
    <row r="27" spans="1:5">
      <c r="A27" s="30">
        <v>6</v>
      </c>
      <c r="B27" s="128" t="s">
        <v>72</v>
      </c>
      <c r="C27" s="103">
        <v>100</v>
      </c>
      <c r="D27" s="136">
        <v>56.4</v>
      </c>
      <c r="E27" s="60">
        <v>10</v>
      </c>
    </row>
    <row r="28" spans="1:5">
      <c r="A28" s="30">
        <v>7</v>
      </c>
      <c r="B28" s="128" t="s">
        <v>5</v>
      </c>
      <c r="C28" s="103">
        <v>30</v>
      </c>
      <c r="D28" s="135">
        <v>71</v>
      </c>
      <c r="E28" s="60">
        <v>3</v>
      </c>
    </row>
    <row r="29" spans="1:5">
      <c r="A29" s="30">
        <v>8</v>
      </c>
      <c r="B29" s="128" t="s">
        <v>6</v>
      </c>
      <c r="C29" s="103">
        <v>20</v>
      </c>
      <c r="D29" s="135">
        <v>40.799999999999997</v>
      </c>
      <c r="E29" s="60">
        <v>3</v>
      </c>
    </row>
    <row r="30" spans="1:5">
      <c r="A30" s="30">
        <v>9</v>
      </c>
      <c r="B30" s="130" t="s">
        <v>25</v>
      </c>
      <c r="C30" s="117">
        <v>200</v>
      </c>
      <c r="D30" s="94">
        <v>52</v>
      </c>
      <c r="E30" s="157">
        <v>25</v>
      </c>
    </row>
    <row r="31" spans="1:5" s="26" customFormat="1" thickBot="1">
      <c r="A31" s="31"/>
      <c r="B31" s="129" t="s">
        <v>7</v>
      </c>
      <c r="C31" s="112">
        <f>SUM(C22:C30)</f>
        <v>1170</v>
      </c>
      <c r="D31" s="108">
        <f t="shared" ref="D31" si="1">SUM(D22:D30)</f>
        <v>1020.2499999999999</v>
      </c>
      <c r="E31" s="67">
        <f>SUM(E22:E30)</f>
        <v>157</v>
      </c>
    </row>
    <row r="32" spans="1:5">
      <c r="A32" s="29"/>
      <c r="B32" s="48"/>
      <c r="C32" s="50"/>
      <c r="D32" s="76"/>
    </row>
    <row r="33" spans="1:6" s="29" customFormat="1" ht="28.35" customHeight="1">
      <c r="B33" s="168" t="s">
        <v>153</v>
      </c>
      <c r="C33" s="168"/>
      <c r="D33" s="168"/>
      <c r="E33" s="45"/>
    </row>
    <row r="34" spans="1:6">
      <c r="A34" s="183" t="s">
        <v>27</v>
      </c>
      <c r="B34" s="162" t="s">
        <v>0</v>
      </c>
      <c r="C34" s="162" t="s">
        <v>1</v>
      </c>
      <c r="D34" s="162" t="s">
        <v>2</v>
      </c>
      <c r="E34" s="162" t="s">
        <v>70</v>
      </c>
    </row>
    <row r="35" spans="1:6">
      <c r="A35" s="184"/>
      <c r="B35" s="162"/>
      <c r="C35" s="162"/>
      <c r="D35" s="162"/>
      <c r="E35" s="187"/>
    </row>
    <row r="36" spans="1:6">
      <c r="A36" s="52">
        <v>1</v>
      </c>
      <c r="B36" s="128" t="s">
        <v>42</v>
      </c>
      <c r="C36" s="103">
        <v>100</v>
      </c>
      <c r="D36" s="94">
        <f>187*100/80</f>
        <v>233.75</v>
      </c>
      <c r="E36" s="53">
        <f>51.47-20</f>
        <v>31.47</v>
      </c>
    </row>
    <row r="37" spans="1:6">
      <c r="A37" s="30">
        <v>2</v>
      </c>
      <c r="B37" s="128" t="s">
        <v>44</v>
      </c>
      <c r="C37" s="103">
        <v>50</v>
      </c>
      <c r="D37" s="102">
        <f>83.4*50/20</f>
        <v>208.5</v>
      </c>
      <c r="E37" s="53">
        <v>10</v>
      </c>
    </row>
    <row r="38" spans="1:6">
      <c r="A38" s="30">
        <v>3</v>
      </c>
      <c r="B38" s="128" t="s">
        <v>43</v>
      </c>
      <c r="C38" s="103">
        <v>200</v>
      </c>
      <c r="D38" s="94">
        <v>62</v>
      </c>
      <c r="E38" s="53">
        <v>10</v>
      </c>
    </row>
    <row r="39" spans="1:6" s="26" customFormat="1" ht="14.25">
      <c r="A39" s="31"/>
      <c r="B39" s="129" t="s">
        <v>7</v>
      </c>
      <c r="C39" s="114">
        <f>SUM(C36:C38)</f>
        <v>350</v>
      </c>
      <c r="D39" s="159">
        <f t="shared" ref="D39" si="2">SUM(D36:D38)</f>
        <v>504.25</v>
      </c>
      <c r="E39" s="40">
        <f>SUM(E36:E38)</f>
        <v>51.47</v>
      </c>
    </row>
    <row r="42" spans="1:6">
      <c r="A42" s="38" t="str">
        <f>'1 Д 1 Н'!A38</f>
        <v xml:space="preserve">    Заведующий производством  _______________/  ______________/                              /</v>
      </c>
      <c r="B42" s="35"/>
      <c r="C42" s="41"/>
      <c r="D42" s="42"/>
    </row>
    <row r="43" spans="1:6" s="29" customFormat="1" ht="21.6" customHeight="1">
      <c r="A43" s="171" t="s">
        <v>74</v>
      </c>
      <c r="B43" s="166"/>
      <c r="C43" s="166"/>
      <c r="D43" s="166"/>
      <c r="E43" s="166"/>
      <c r="F43" s="34"/>
    </row>
    <row r="44" spans="1:6">
      <c r="A44" s="78" t="s">
        <v>75</v>
      </c>
      <c r="E44" s="77"/>
      <c r="F44" s="54"/>
    </row>
  </sheetData>
  <mergeCells count="19">
    <mergeCell ref="B20:B21"/>
    <mergeCell ref="C20:C21"/>
    <mergeCell ref="D20:D21"/>
    <mergeCell ref="B33:D33"/>
    <mergeCell ref="A43:E43"/>
    <mergeCell ref="B8:D8"/>
    <mergeCell ref="A9:A10"/>
    <mergeCell ref="B9:B10"/>
    <mergeCell ref="C9:C10"/>
    <mergeCell ref="D9:D10"/>
    <mergeCell ref="E9:E10"/>
    <mergeCell ref="E20:E21"/>
    <mergeCell ref="E34:E35"/>
    <mergeCell ref="A34:A35"/>
    <mergeCell ref="B34:B35"/>
    <mergeCell ref="C34:C35"/>
    <mergeCell ref="D34:D35"/>
    <mergeCell ref="B19:D19"/>
    <mergeCell ref="A20:A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topLeftCell="A16" workbookViewId="0">
      <selection activeCell="B32" sqref="B32:D32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5" width="11.28515625" style="23" customWidth="1"/>
    <col min="6" max="16384" width="8.85546875" style="23"/>
  </cols>
  <sheetData>
    <row r="1" spans="1:5">
      <c r="A1" s="23" t="str">
        <f>'1 Д 1 Н'!A1</f>
        <v>Утверждаю</v>
      </c>
      <c r="D1" s="98" t="str">
        <f>'5Д 1Н'!D1</f>
        <v>Согласовано</v>
      </c>
    </row>
    <row r="2" spans="1:5">
      <c r="A2" s="23" t="str">
        <f>'1 Д 1 Н'!A2</f>
        <v>Директор ООО "ВитаЛайн"</v>
      </c>
      <c r="D2" s="98" t="str">
        <f>'5Д 1Н'!D2</f>
        <v>Директор МБОУ _____________</v>
      </c>
    </row>
    <row r="3" spans="1:5">
      <c r="A3" s="23" t="str">
        <f>'1 Д 1 Н'!A3</f>
        <v>_____________Н.Н.Клоков</v>
      </c>
      <c r="D3" s="98" t="str">
        <f>'5Д 1Н'!D3</f>
        <v>______________/______________/</v>
      </c>
    </row>
    <row r="4" spans="1:5">
      <c r="A4" s="23" t="str">
        <f>'1 Д 1 Н'!A4</f>
        <v>"___"______________2023 г</v>
      </c>
      <c r="D4" s="98" t="str">
        <f>'5Д 1Н'!D4</f>
        <v>"_____"__________________2023 г.</v>
      </c>
    </row>
    <row r="8" spans="1:5" s="29" customFormat="1" ht="28.35" customHeight="1">
      <c r="B8" s="168" t="s">
        <v>151</v>
      </c>
      <c r="C8" s="168"/>
      <c r="D8" s="168"/>
      <c r="E8" s="45"/>
    </row>
    <row r="9" spans="1:5">
      <c r="A9" s="172" t="s">
        <v>27</v>
      </c>
      <c r="B9" s="162" t="s">
        <v>0</v>
      </c>
      <c r="C9" s="162" t="s">
        <v>1</v>
      </c>
      <c r="D9" s="162" t="s">
        <v>2</v>
      </c>
      <c r="E9" s="162" t="s">
        <v>70</v>
      </c>
    </row>
    <row r="10" spans="1:5" ht="15.75" thickBot="1">
      <c r="A10" s="173"/>
      <c r="B10" s="162"/>
      <c r="C10" s="162"/>
      <c r="D10" s="162"/>
      <c r="E10" s="187"/>
    </row>
    <row r="11" spans="1:5" ht="30">
      <c r="A11" s="30">
        <v>1</v>
      </c>
      <c r="B11" s="128" t="s">
        <v>210</v>
      </c>
      <c r="C11" s="103">
        <v>200</v>
      </c>
      <c r="D11" s="94">
        <f>144*200/80</f>
        <v>360</v>
      </c>
      <c r="E11" s="59">
        <v>60</v>
      </c>
    </row>
    <row r="12" spans="1:5">
      <c r="A12" s="30">
        <v>2</v>
      </c>
      <c r="B12" s="128" t="s">
        <v>83</v>
      </c>
      <c r="C12" s="103">
        <v>100</v>
      </c>
      <c r="D12" s="9">
        <v>302.8</v>
      </c>
      <c r="E12" s="60">
        <v>20</v>
      </c>
    </row>
    <row r="13" spans="1:5" ht="30">
      <c r="A13" s="30">
        <v>3</v>
      </c>
      <c r="B13" s="128" t="s">
        <v>78</v>
      </c>
      <c r="C13" s="103">
        <v>200</v>
      </c>
      <c r="D13" s="9">
        <f>100*180/200</f>
        <v>90</v>
      </c>
      <c r="E13" s="60">
        <v>10</v>
      </c>
    </row>
    <row r="14" spans="1:5">
      <c r="A14" s="30">
        <v>4</v>
      </c>
      <c r="B14" s="128" t="s">
        <v>5</v>
      </c>
      <c r="C14" s="103">
        <v>30</v>
      </c>
      <c r="D14" s="102">
        <v>71</v>
      </c>
      <c r="E14" s="60">
        <v>3</v>
      </c>
    </row>
    <row r="15" spans="1:5">
      <c r="A15" s="30">
        <v>6</v>
      </c>
      <c r="B15" s="128" t="s">
        <v>6</v>
      </c>
      <c r="C15" s="103">
        <v>20</v>
      </c>
      <c r="D15" s="102">
        <v>40.799999999999997</v>
      </c>
      <c r="E15" s="60">
        <v>3</v>
      </c>
    </row>
    <row r="16" spans="1:5">
      <c r="A16" s="30">
        <v>7</v>
      </c>
      <c r="B16" s="129" t="s">
        <v>7</v>
      </c>
      <c r="C16" s="114">
        <f t="shared" ref="C16" si="0">SUM(C11:C15)</f>
        <v>550</v>
      </c>
      <c r="D16" s="108">
        <f t="shared" ref="D16" si="1">SUM(D11:D15)</f>
        <v>864.59999999999991</v>
      </c>
      <c r="E16" s="60">
        <f>SUM(E11:E15)</f>
        <v>96</v>
      </c>
    </row>
    <row r="17" spans="1:5">
      <c r="A17" s="29"/>
      <c r="B17" s="48"/>
      <c r="C17" s="50"/>
      <c r="D17" s="76"/>
    </row>
    <row r="18" spans="1:5">
      <c r="A18" s="29"/>
      <c r="B18" s="48"/>
      <c r="C18" s="50"/>
      <c r="D18" s="76"/>
    </row>
    <row r="19" spans="1:5" s="29" customFormat="1" ht="28.35" customHeight="1">
      <c r="B19" s="168" t="s">
        <v>152</v>
      </c>
      <c r="C19" s="168"/>
      <c r="D19" s="168"/>
      <c r="E19" s="45"/>
    </row>
    <row r="20" spans="1:5" ht="13.9" customHeight="1">
      <c r="A20" s="185" t="s">
        <v>27</v>
      </c>
      <c r="B20" s="169" t="s">
        <v>0</v>
      </c>
      <c r="C20" s="162" t="s">
        <v>1</v>
      </c>
      <c r="D20" s="162" t="s">
        <v>2</v>
      </c>
      <c r="E20" s="162" t="s">
        <v>70</v>
      </c>
    </row>
    <row r="21" spans="1:5">
      <c r="A21" s="186"/>
      <c r="B21" s="169"/>
      <c r="C21" s="162"/>
      <c r="D21" s="162"/>
      <c r="E21" s="187"/>
    </row>
    <row r="22" spans="1:5" ht="30">
      <c r="A22" s="51">
        <v>1</v>
      </c>
      <c r="B22" s="128" t="s">
        <v>45</v>
      </c>
      <c r="C22" s="103">
        <v>100</v>
      </c>
      <c r="D22" s="136">
        <f>591*0.1</f>
        <v>59.1</v>
      </c>
      <c r="E22" s="60">
        <v>12</v>
      </c>
    </row>
    <row r="23" spans="1:5">
      <c r="A23" s="30">
        <v>2</v>
      </c>
      <c r="B23" s="128" t="s">
        <v>46</v>
      </c>
      <c r="C23" s="103">
        <v>250</v>
      </c>
      <c r="D23" s="136">
        <f>511*0.25</f>
        <v>127.75</v>
      </c>
      <c r="E23" s="60">
        <v>22</v>
      </c>
    </row>
    <row r="24" spans="1:5" ht="30">
      <c r="A24" s="30">
        <v>3</v>
      </c>
      <c r="B24" s="128" t="s">
        <v>47</v>
      </c>
      <c r="C24" s="103">
        <v>180</v>
      </c>
      <c r="D24" s="136">
        <f>180*180/125</f>
        <v>259.2</v>
      </c>
      <c r="E24" s="60">
        <v>20</v>
      </c>
    </row>
    <row r="25" spans="1:5">
      <c r="A25" s="30">
        <v>4</v>
      </c>
      <c r="B25" s="128" t="s">
        <v>211</v>
      </c>
      <c r="C25" s="103">
        <v>125</v>
      </c>
      <c r="D25" s="14">
        <v>165.31</v>
      </c>
      <c r="E25" s="60">
        <v>47</v>
      </c>
    </row>
    <row r="26" spans="1:5">
      <c r="A26" s="30">
        <v>5</v>
      </c>
      <c r="B26" s="128" t="s">
        <v>20</v>
      </c>
      <c r="C26" s="103">
        <v>180</v>
      </c>
      <c r="D26" s="14">
        <f>503*0.2</f>
        <v>100.60000000000001</v>
      </c>
      <c r="E26" s="60">
        <v>10</v>
      </c>
    </row>
    <row r="27" spans="1:5">
      <c r="A27" s="30">
        <v>6</v>
      </c>
      <c r="B27" s="128" t="s">
        <v>5</v>
      </c>
      <c r="C27" s="103">
        <v>50</v>
      </c>
      <c r="D27" s="135">
        <v>118.4</v>
      </c>
      <c r="E27" s="60">
        <v>5</v>
      </c>
    </row>
    <row r="28" spans="1:5">
      <c r="A28" s="30">
        <v>7</v>
      </c>
      <c r="B28" s="128" t="s">
        <v>6</v>
      </c>
      <c r="C28" s="103">
        <v>30</v>
      </c>
      <c r="D28" s="102">
        <v>61.2</v>
      </c>
      <c r="E28" s="157">
        <v>4.5</v>
      </c>
    </row>
    <row r="29" spans="1:5" s="26" customFormat="1" thickBot="1">
      <c r="A29" s="31"/>
      <c r="B29" s="129" t="s">
        <v>7</v>
      </c>
      <c r="C29" s="112">
        <f>SUM(C22:C28)</f>
        <v>915</v>
      </c>
      <c r="D29" s="108">
        <f t="shared" ref="D29" si="2">SUM(D22:D28)</f>
        <v>891.56</v>
      </c>
      <c r="E29" s="67">
        <f>SUM(E22:E28)</f>
        <v>120.5</v>
      </c>
    </row>
    <row r="30" spans="1:5">
      <c r="A30" s="29"/>
      <c r="B30" s="48"/>
      <c r="C30" s="50"/>
      <c r="D30" s="76"/>
    </row>
    <row r="31" spans="1:5">
      <c r="A31" s="29"/>
      <c r="B31" s="48"/>
      <c r="C31" s="50"/>
      <c r="D31" s="76"/>
    </row>
    <row r="32" spans="1:5" s="29" customFormat="1" ht="28.35" customHeight="1">
      <c r="B32" s="168" t="s">
        <v>153</v>
      </c>
      <c r="C32" s="168"/>
      <c r="D32" s="168"/>
      <c r="E32" s="45"/>
    </row>
    <row r="33" spans="1:6">
      <c r="A33" s="183" t="s">
        <v>27</v>
      </c>
      <c r="B33" s="162" t="s">
        <v>0</v>
      </c>
      <c r="C33" s="162" t="s">
        <v>1</v>
      </c>
      <c r="D33" s="189" t="s">
        <v>2</v>
      </c>
      <c r="E33" s="188" t="s">
        <v>70</v>
      </c>
    </row>
    <row r="34" spans="1:6">
      <c r="A34" s="184"/>
      <c r="B34" s="162"/>
      <c r="C34" s="162"/>
      <c r="D34" s="189"/>
      <c r="E34" s="188"/>
    </row>
    <row r="35" spans="1:6">
      <c r="A35" s="52">
        <v>1</v>
      </c>
      <c r="B35" s="128" t="s">
        <v>48</v>
      </c>
      <c r="C35" s="103">
        <v>200</v>
      </c>
      <c r="D35" s="94">
        <f>154*200/105</f>
        <v>293.33333333333331</v>
      </c>
      <c r="E35" s="61">
        <f>51.47-13</f>
        <v>38.47</v>
      </c>
    </row>
    <row r="36" spans="1:6">
      <c r="A36" s="30">
        <v>2</v>
      </c>
      <c r="B36" s="128" t="s">
        <v>49</v>
      </c>
      <c r="C36" s="103">
        <v>180</v>
      </c>
      <c r="D36" s="9">
        <f>61.9*180/200</f>
        <v>55.71</v>
      </c>
      <c r="E36" s="61">
        <v>10</v>
      </c>
    </row>
    <row r="37" spans="1:6">
      <c r="A37" s="30">
        <v>3</v>
      </c>
      <c r="B37" s="128" t="s">
        <v>6</v>
      </c>
      <c r="C37" s="103">
        <v>20</v>
      </c>
      <c r="D37" s="102">
        <v>40.799999999999997</v>
      </c>
      <c r="E37" s="61">
        <v>3</v>
      </c>
    </row>
    <row r="38" spans="1:6" s="26" customFormat="1" ht="14.25">
      <c r="A38" s="31"/>
      <c r="B38" s="129" t="s">
        <v>7</v>
      </c>
      <c r="C38" s="114">
        <f t="shared" ref="C38" si="3">SUM(C35:C37)</f>
        <v>400</v>
      </c>
      <c r="D38" s="108">
        <f t="shared" ref="D38" si="4">SUM(D35:D37)</f>
        <v>389.84333333333331</v>
      </c>
      <c r="E38" s="40">
        <f>SUM(E35:E37)</f>
        <v>51.47</v>
      </c>
    </row>
    <row r="41" spans="1:6">
      <c r="A41" s="38" t="str">
        <f>'1 Д 1 Н'!A38</f>
        <v xml:space="preserve">    Заведующий производством  _______________/  ______________/                              /</v>
      </c>
      <c r="B41" s="35"/>
      <c r="C41" s="41"/>
      <c r="D41" s="42"/>
    </row>
    <row r="42" spans="1:6" s="29" customFormat="1" ht="21.6" customHeight="1">
      <c r="A42" s="171" t="s">
        <v>74</v>
      </c>
      <c r="B42" s="166"/>
      <c r="C42" s="166"/>
      <c r="D42" s="166"/>
      <c r="E42" s="166"/>
      <c r="F42" s="34"/>
    </row>
    <row r="43" spans="1:6">
      <c r="A43" s="78" t="s">
        <v>75</v>
      </c>
      <c r="E43" s="77"/>
      <c r="F43" s="54"/>
    </row>
  </sheetData>
  <mergeCells count="19">
    <mergeCell ref="B8:D8"/>
    <mergeCell ref="A9:A10"/>
    <mergeCell ref="B9:B10"/>
    <mergeCell ref="C9:C10"/>
    <mergeCell ref="D9:D10"/>
    <mergeCell ref="A42:E42"/>
    <mergeCell ref="E9:E10"/>
    <mergeCell ref="E20:E21"/>
    <mergeCell ref="E33:E34"/>
    <mergeCell ref="A33:A34"/>
    <mergeCell ref="B33:B34"/>
    <mergeCell ref="C33:C34"/>
    <mergeCell ref="D33:D34"/>
    <mergeCell ref="B19:D19"/>
    <mergeCell ref="A20:A21"/>
    <mergeCell ref="B20:B21"/>
    <mergeCell ref="C20:C21"/>
    <mergeCell ref="D20:D21"/>
    <mergeCell ref="B32:D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topLeftCell="A19" workbookViewId="0">
      <selection activeCell="B34" sqref="B34:D34"/>
    </sheetView>
  </sheetViews>
  <sheetFormatPr defaultColWidth="8.85546875" defaultRowHeight="15"/>
  <cols>
    <col min="1" max="1" width="5.7109375" style="23" customWidth="1"/>
    <col min="2" max="2" width="43" style="23" customWidth="1"/>
    <col min="3" max="3" width="16" style="23" customWidth="1"/>
    <col min="4" max="4" width="20.5703125" style="98" customWidth="1"/>
    <col min="5" max="5" width="11.28515625" style="26" customWidth="1"/>
    <col min="6" max="16384" width="8.85546875" style="23"/>
  </cols>
  <sheetData>
    <row r="1" spans="1:5">
      <c r="A1" s="23" t="str">
        <f>'1 Д 1 Н'!A1</f>
        <v>Утверждаю</v>
      </c>
      <c r="D1" s="98" t="str">
        <f>'5Д 1Н'!D1</f>
        <v>Согласовано</v>
      </c>
    </row>
    <row r="2" spans="1:5">
      <c r="A2" s="23" t="str">
        <f>'1 Д 1 Н'!A2</f>
        <v>Директор ООО "ВитаЛайн"</v>
      </c>
      <c r="D2" s="98" t="str">
        <f>'5Д 1Н'!D2</f>
        <v>Директор МБОУ _____________</v>
      </c>
    </row>
    <row r="3" spans="1:5">
      <c r="A3" s="23" t="str">
        <f>'1 Д 1 Н'!A3</f>
        <v>_____________Н.Н.Клоков</v>
      </c>
      <c r="D3" s="98" t="str">
        <f>'5Д 1Н'!D3</f>
        <v>______________/______________/</v>
      </c>
    </row>
    <row r="4" spans="1:5">
      <c r="A4" s="23" t="str">
        <f>'1 Д 1 Н'!A4</f>
        <v>"___"______________2023 г</v>
      </c>
      <c r="D4" s="98" t="str">
        <f>'5Д 1Н'!D4</f>
        <v>"_____"__________________2023 г.</v>
      </c>
    </row>
    <row r="8" spans="1:5" s="29" customFormat="1" ht="28.35" customHeight="1">
      <c r="B8" s="168" t="s">
        <v>151</v>
      </c>
      <c r="C8" s="168"/>
      <c r="D8" s="168"/>
      <c r="E8" s="55"/>
    </row>
    <row r="9" spans="1:5">
      <c r="A9" s="194" t="s">
        <v>27</v>
      </c>
      <c r="B9" s="191" t="s">
        <v>0</v>
      </c>
      <c r="C9" s="191" t="s">
        <v>1</v>
      </c>
      <c r="D9" s="191" t="s">
        <v>2</v>
      </c>
      <c r="E9" s="188" t="s">
        <v>70</v>
      </c>
    </row>
    <row r="10" spans="1:5" ht="15.75" thickBot="1">
      <c r="A10" s="195"/>
      <c r="B10" s="191"/>
      <c r="C10" s="191"/>
      <c r="D10" s="191"/>
      <c r="E10" s="188"/>
    </row>
    <row r="11" spans="1:5">
      <c r="A11" s="5">
        <v>1</v>
      </c>
      <c r="B11" s="128" t="s">
        <v>50</v>
      </c>
      <c r="C11" s="103">
        <v>100</v>
      </c>
      <c r="D11" s="94">
        <f>953*0.1</f>
        <v>95.300000000000011</v>
      </c>
      <c r="E11" s="59">
        <v>12</v>
      </c>
    </row>
    <row r="12" spans="1:5">
      <c r="A12" s="5">
        <v>2</v>
      </c>
      <c r="B12" s="128" t="s">
        <v>39</v>
      </c>
      <c r="C12" s="103">
        <v>180</v>
      </c>
      <c r="D12" s="94">
        <f>915*0.18</f>
        <v>164.7</v>
      </c>
      <c r="E12" s="60">
        <v>18</v>
      </c>
    </row>
    <row r="13" spans="1:5">
      <c r="A13" s="5">
        <v>3</v>
      </c>
      <c r="B13" s="128" t="s">
        <v>51</v>
      </c>
      <c r="C13" s="103">
        <v>100</v>
      </c>
      <c r="D13" s="94">
        <f>145.9*100/120</f>
        <v>121.58333333333333</v>
      </c>
      <c r="E13" s="60">
        <v>49</v>
      </c>
    </row>
    <row r="14" spans="1:5">
      <c r="A14" s="5">
        <v>4</v>
      </c>
      <c r="B14" s="130" t="s">
        <v>38</v>
      </c>
      <c r="C14" s="117">
        <v>180</v>
      </c>
      <c r="D14" s="9">
        <f>593*0.18</f>
        <v>106.74</v>
      </c>
      <c r="E14" s="60">
        <v>10</v>
      </c>
    </row>
    <row r="15" spans="1:5">
      <c r="A15" s="5">
        <v>6</v>
      </c>
      <c r="B15" s="128" t="s">
        <v>5</v>
      </c>
      <c r="C15" s="103">
        <v>20</v>
      </c>
      <c r="D15" s="102">
        <v>47.4</v>
      </c>
      <c r="E15" s="60">
        <v>2</v>
      </c>
    </row>
    <row r="16" spans="1:5">
      <c r="A16" s="5">
        <v>7</v>
      </c>
      <c r="B16" s="128" t="s">
        <v>6</v>
      </c>
      <c r="C16" s="103">
        <v>20</v>
      </c>
      <c r="D16" s="102">
        <v>40.799999999999997</v>
      </c>
      <c r="E16" s="60">
        <v>3</v>
      </c>
    </row>
    <row r="17" spans="1:5">
      <c r="A17" s="6">
        <v>8</v>
      </c>
      <c r="B17" s="129" t="s">
        <v>7</v>
      </c>
      <c r="C17" s="114">
        <f>SUM(C11:C16)</f>
        <v>600</v>
      </c>
      <c r="D17" s="108">
        <f t="shared" ref="D17" si="0">SUM(D11:D16)</f>
        <v>576.52333333333331</v>
      </c>
      <c r="E17" s="60">
        <f>SUM(E11:E16)</f>
        <v>94</v>
      </c>
    </row>
    <row r="18" spans="1:5">
      <c r="A18" s="1"/>
      <c r="B18" s="21"/>
      <c r="C18" s="22"/>
      <c r="D18" s="84"/>
    </row>
    <row r="19" spans="1:5" s="29" customFormat="1" ht="28.35" customHeight="1">
      <c r="B19" s="168" t="s">
        <v>152</v>
      </c>
      <c r="C19" s="168"/>
      <c r="D19" s="168"/>
      <c r="E19" s="55"/>
    </row>
    <row r="20" spans="1:5">
      <c r="A20" s="192" t="s">
        <v>27</v>
      </c>
      <c r="B20" s="193" t="s">
        <v>0</v>
      </c>
      <c r="C20" s="191" t="s">
        <v>1</v>
      </c>
      <c r="D20" s="191" t="s">
        <v>2</v>
      </c>
      <c r="E20" s="188" t="s">
        <v>70</v>
      </c>
    </row>
    <row r="21" spans="1:5" ht="15.75" thickBot="1">
      <c r="A21" s="186"/>
      <c r="B21" s="193"/>
      <c r="C21" s="191"/>
      <c r="D21" s="191"/>
      <c r="E21" s="188"/>
    </row>
    <row r="22" spans="1:5">
      <c r="A22" s="51">
        <v>1</v>
      </c>
      <c r="B22" s="128" t="s">
        <v>52</v>
      </c>
      <c r="C22" s="103">
        <v>100</v>
      </c>
      <c r="D22" s="94">
        <f>1251*0.1</f>
        <v>125.10000000000001</v>
      </c>
      <c r="E22" s="59">
        <v>12</v>
      </c>
    </row>
    <row r="23" spans="1:5" ht="30">
      <c r="A23" s="5">
        <v>2</v>
      </c>
      <c r="B23" s="128" t="s">
        <v>53</v>
      </c>
      <c r="C23" s="103">
        <v>250</v>
      </c>
      <c r="D23" s="94">
        <f>473*0.25</f>
        <v>118.25</v>
      </c>
      <c r="E23" s="60">
        <v>22</v>
      </c>
    </row>
    <row r="24" spans="1:5">
      <c r="A24" s="5">
        <v>3</v>
      </c>
      <c r="B24" s="128" t="s">
        <v>54</v>
      </c>
      <c r="C24" s="103">
        <v>180</v>
      </c>
      <c r="D24" s="94">
        <f>884*0.18</f>
        <v>159.12</v>
      </c>
      <c r="E24" s="60">
        <v>15</v>
      </c>
    </row>
    <row r="25" spans="1:5" ht="45">
      <c r="A25" s="5">
        <v>4</v>
      </c>
      <c r="B25" s="128" t="s">
        <v>214</v>
      </c>
      <c r="C25" s="103">
        <v>120</v>
      </c>
      <c r="D25" s="9">
        <f>199.1*120/110</f>
        <v>217.2</v>
      </c>
      <c r="E25" s="60">
        <v>45</v>
      </c>
    </row>
    <row r="26" spans="1:5">
      <c r="A26" s="5">
        <v>5</v>
      </c>
      <c r="B26" s="130" t="s">
        <v>215</v>
      </c>
      <c r="C26" s="117">
        <v>180</v>
      </c>
      <c r="D26" s="9">
        <f>141*0.18</f>
        <v>25.38</v>
      </c>
      <c r="E26" s="60">
        <v>10</v>
      </c>
    </row>
    <row r="27" spans="1:5">
      <c r="A27" s="5">
        <v>6</v>
      </c>
      <c r="B27" s="130" t="s">
        <v>72</v>
      </c>
      <c r="C27" s="117">
        <v>100</v>
      </c>
      <c r="D27" s="94">
        <v>56.4</v>
      </c>
      <c r="E27" s="62">
        <v>10</v>
      </c>
    </row>
    <row r="28" spans="1:5">
      <c r="A28" s="5">
        <v>7</v>
      </c>
      <c r="B28" s="128" t="s">
        <v>5</v>
      </c>
      <c r="C28" s="103">
        <v>50</v>
      </c>
      <c r="D28" s="102">
        <v>118.4</v>
      </c>
      <c r="E28" s="60">
        <v>5</v>
      </c>
    </row>
    <row r="29" spans="1:5">
      <c r="A29" s="5">
        <v>8</v>
      </c>
      <c r="B29" s="128" t="s">
        <v>6</v>
      </c>
      <c r="C29" s="103">
        <v>30</v>
      </c>
      <c r="D29" s="102">
        <v>61.2</v>
      </c>
      <c r="E29" s="60">
        <v>4.5</v>
      </c>
    </row>
    <row r="30" spans="1:5">
      <c r="A30" s="5">
        <v>9</v>
      </c>
      <c r="B30" s="131" t="s">
        <v>25</v>
      </c>
      <c r="C30" s="118">
        <v>200</v>
      </c>
      <c r="D30" s="149">
        <v>52</v>
      </c>
      <c r="E30" s="60">
        <v>25</v>
      </c>
    </row>
    <row r="31" spans="1:5" s="26" customFormat="1" thickBot="1">
      <c r="A31" s="6"/>
      <c r="B31" s="129" t="s">
        <v>7</v>
      </c>
      <c r="C31" s="114">
        <f>SUM(C22:C30)</f>
        <v>1210</v>
      </c>
      <c r="D31" s="108">
        <f t="shared" ref="D31" si="1">SUM(D22:D30)</f>
        <v>933.05000000000007</v>
      </c>
      <c r="E31" s="69">
        <f>SUM(E22:E30)</f>
        <v>148.5</v>
      </c>
    </row>
    <row r="32" spans="1:5">
      <c r="A32" s="6"/>
      <c r="B32" s="13"/>
      <c r="C32" s="7"/>
      <c r="D32" s="15"/>
    </row>
    <row r="33" spans="1:6">
      <c r="A33" s="1"/>
      <c r="B33" s="21"/>
      <c r="C33" s="22"/>
      <c r="D33" s="84"/>
    </row>
    <row r="34" spans="1:6" s="29" customFormat="1" ht="28.35" customHeight="1">
      <c r="B34" s="168" t="s">
        <v>153</v>
      </c>
      <c r="C34" s="168"/>
      <c r="D34" s="168"/>
      <c r="E34" s="55"/>
    </row>
    <row r="35" spans="1:6">
      <c r="A35" s="190" t="s">
        <v>27</v>
      </c>
      <c r="B35" s="191" t="s">
        <v>0</v>
      </c>
      <c r="C35" s="191" t="s">
        <v>1</v>
      </c>
      <c r="D35" s="191" t="s">
        <v>2</v>
      </c>
      <c r="E35" s="188" t="s">
        <v>70</v>
      </c>
    </row>
    <row r="36" spans="1:6">
      <c r="A36" s="184"/>
      <c r="B36" s="191"/>
      <c r="C36" s="191"/>
      <c r="D36" s="191"/>
      <c r="E36" s="188"/>
    </row>
    <row r="37" spans="1:6" ht="30">
      <c r="A37" s="52">
        <v>1</v>
      </c>
      <c r="B37" s="128" t="s">
        <v>216</v>
      </c>
      <c r="C37" s="103">
        <v>200</v>
      </c>
      <c r="D37" s="94">
        <f>245.8*200/150</f>
        <v>327.73333333333335</v>
      </c>
      <c r="E37" s="64">
        <f>51.47-15</f>
        <v>36.47</v>
      </c>
    </row>
    <row r="38" spans="1:6">
      <c r="A38" s="5">
        <v>2</v>
      </c>
      <c r="B38" s="128" t="s">
        <v>29</v>
      </c>
      <c r="C38" s="103">
        <v>200</v>
      </c>
      <c r="D38" s="9">
        <v>83.4</v>
      </c>
      <c r="E38" s="64">
        <v>10</v>
      </c>
    </row>
    <row r="39" spans="1:6">
      <c r="A39" s="5">
        <v>3</v>
      </c>
      <c r="B39" s="128" t="s">
        <v>5</v>
      </c>
      <c r="C39" s="103">
        <v>20</v>
      </c>
      <c r="D39" s="102">
        <v>47.4</v>
      </c>
      <c r="E39" s="64">
        <v>2</v>
      </c>
    </row>
    <row r="40" spans="1:6" s="26" customFormat="1">
      <c r="A40" s="6">
        <v>4</v>
      </c>
      <c r="B40" s="128" t="s">
        <v>6</v>
      </c>
      <c r="C40" s="103">
        <v>20</v>
      </c>
      <c r="D40" s="140">
        <v>40.799999999999997</v>
      </c>
      <c r="E40" s="147">
        <v>3</v>
      </c>
    </row>
    <row r="41" spans="1:6">
      <c r="A41" s="151"/>
      <c r="B41" s="161" t="s">
        <v>7</v>
      </c>
      <c r="C41" s="160">
        <f>SUM(C37:C40)</f>
        <v>440</v>
      </c>
      <c r="D41" s="144">
        <f t="shared" ref="D41:E41" si="2">SUM(D37:D40)</f>
        <v>499.33333333333331</v>
      </c>
      <c r="E41" s="144">
        <f t="shared" si="2"/>
        <v>51.47</v>
      </c>
    </row>
    <row r="42" spans="1:6">
      <c r="A42" s="16" t="str">
        <f>'1 Д 1 Н'!A38</f>
        <v xml:space="preserve">    Заведующий производством  _______________/  ______________/                              /</v>
      </c>
      <c r="B42" s="10"/>
      <c r="C42" s="17"/>
      <c r="D42" s="18"/>
    </row>
    <row r="43" spans="1:6" s="29" customFormat="1" ht="21.6" customHeight="1">
      <c r="A43" s="171" t="s">
        <v>74</v>
      </c>
      <c r="B43" s="166"/>
      <c r="C43" s="166"/>
      <c r="D43" s="166"/>
      <c r="E43" s="166"/>
      <c r="F43" s="34"/>
    </row>
    <row r="44" spans="1:6">
      <c r="A44" s="78" t="s">
        <v>75</v>
      </c>
      <c r="E44" s="85"/>
      <c r="F44" s="54"/>
    </row>
  </sheetData>
  <mergeCells count="19">
    <mergeCell ref="B8:D8"/>
    <mergeCell ref="A9:A10"/>
    <mergeCell ref="B9:B10"/>
    <mergeCell ref="C9:C10"/>
    <mergeCell ref="D9:D10"/>
    <mergeCell ref="A43:E43"/>
    <mergeCell ref="E9:E10"/>
    <mergeCell ref="E20:E21"/>
    <mergeCell ref="E35:E36"/>
    <mergeCell ref="A35:A36"/>
    <mergeCell ref="B35:B36"/>
    <mergeCell ref="C35:C36"/>
    <mergeCell ref="D35:D36"/>
    <mergeCell ref="B19:D19"/>
    <mergeCell ref="A20:A21"/>
    <mergeCell ref="B20:B21"/>
    <mergeCell ref="C20:C21"/>
    <mergeCell ref="D20:D21"/>
    <mergeCell ref="B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Д 1 Н</vt:lpstr>
      <vt:lpstr>2Д 1Н</vt:lpstr>
      <vt:lpstr>3Д 1Н</vt:lpstr>
      <vt:lpstr>4Д 1Н</vt:lpstr>
      <vt:lpstr>5Д 1Н</vt:lpstr>
      <vt:lpstr>6Д 1 Н</vt:lpstr>
      <vt:lpstr>1Д 2Н</vt:lpstr>
      <vt:lpstr>2Д 2Н</vt:lpstr>
      <vt:lpstr>3Д 2Н</vt:lpstr>
      <vt:lpstr>4 Д 2Н</vt:lpstr>
      <vt:lpstr>5 Д2Н</vt:lpstr>
      <vt:lpstr>6Д 2Н</vt:lpstr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User</cp:lastModifiedBy>
  <cp:lastPrinted>2023-01-15T08:49:59Z</cp:lastPrinted>
  <dcterms:created xsi:type="dcterms:W3CDTF">2023-01-04T12:19:43Z</dcterms:created>
  <dcterms:modified xsi:type="dcterms:W3CDTF">2023-05-02T07:47:46Z</dcterms:modified>
</cp:coreProperties>
</file>