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635" firstSheet="1" activeTab="9"/>
  </bookViews>
  <sheets>
    <sheet name="1 Д 1 Н" sheetId="1" r:id="rId1"/>
    <sheet name="2Д 1Н" sheetId="2" r:id="rId2"/>
    <sheet name="3Д 1Н" sheetId="3" r:id="rId3"/>
    <sheet name="4Д 1Н" sheetId="4" r:id="rId4"/>
    <sheet name="5Д 1Н" sheetId="5" r:id="rId5"/>
    <sheet name="1Д 2Н" sheetId="6" r:id="rId6"/>
    <sheet name="2Д 2Н" sheetId="7" r:id="rId7"/>
    <sheet name="3Д 2Н" sheetId="8" r:id="rId8"/>
    <sheet name="4 Д 2Н" sheetId="9" r:id="rId9"/>
    <sheet name="5 Д2Н" sheetId="10" r:id="rId10"/>
    <sheet name="Лист1" sheetId="11" r:id="rId1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"/>
  <c r="E33" l="1"/>
  <c r="D38" i="10"/>
  <c r="D39" s="1"/>
  <c r="D26" i="9"/>
  <c r="D24"/>
  <c r="D23"/>
  <c r="D22"/>
  <c r="D29" s="1"/>
  <c r="D26" i="8"/>
  <c r="D25"/>
  <c r="D24"/>
  <c r="D23"/>
  <c r="D22"/>
  <c r="D31" s="1"/>
  <c r="D36" i="7"/>
  <c r="D38" s="1"/>
  <c r="D26"/>
  <c r="D24"/>
  <c r="D23"/>
  <c r="D22"/>
  <c r="D29" s="1"/>
  <c r="D14"/>
  <c r="D13"/>
  <c r="D12"/>
  <c r="D27" i="6"/>
  <c r="D26"/>
  <c r="D25"/>
  <c r="D24"/>
  <c r="D23"/>
  <c r="D35" i="5"/>
  <c r="D34"/>
  <c r="D37" s="1"/>
  <c r="D25"/>
  <c r="D24"/>
  <c r="D23"/>
  <c r="D22"/>
  <c r="D26" i="4"/>
  <c r="D23"/>
  <c r="D22"/>
  <c r="D34"/>
  <c r="D36" s="1"/>
  <c r="C28"/>
  <c r="D35" i="1"/>
  <c r="D34"/>
  <c r="D33"/>
  <c r="D23"/>
  <c r="D22"/>
  <c r="D21"/>
  <c r="D35" i="2"/>
  <c r="D34"/>
  <c r="D33"/>
  <c r="D36" s="1"/>
  <c r="D23"/>
  <c r="D21"/>
  <c r="D20"/>
  <c r="D24" i="3"/>
  <c r="D23"/>
  <c r="D21"/>
  <c r="D20"/>
  <c r="D19"/>
  <c r="D18"/>
  <c r="D25" s="1"/>
  <c r="D266" i="11"/>
  <c r="D267" s="1"/>
  <c r="D258"/>
  <c r="D256"/>
  <c r="D255"/>
  <c r="D254"/>
  <c r="D262" s="1"/>
  <c r="D248"/>
  <c r="D247"/>
  <c r="D246"/>
  <c r="D252" s="1"/>
  <c r="D238"/>
  <c r="D232"/>
  <c r="D230"/>
  <c r="D229"/>
  <c r="D228"/>
  <c r="D235" s="1"/>
  <c r="D223"/>
  <c r="D221"/>
  <c r="D226" s="1"/>
  <c r="D220"/>
  <c r="D212"/>
  <c r="D204"/>
  <c r="D203"/>
  <c r="D202"/>
  <c r="D201"/>
  <c r="D209" s="1"/>
  <c r="D200"/>
  <c r="D195"/>
  <c r="D194"/>
  <c r="D193"/>
  <c r="D192"/>
  <c r="D185"/>
  <c r="D183"/>
  <c r="D177"/>
  <c r="D175"/>
  <c r="D174"/>
  <c r="D173"/>
  <c r="D168"/>
  <c r="D167"/>
  <c r="D166"/>
  <c r="D159"/>
  <c r="D150"/>
  <c r="D149"/>
  <c r="D148"/>
  <c r="D147"/>
  <c r="D146"/>
  <c r="D141"/>
  <c r="D140"/>
  <c r="D139"/>
  <c r="D138"/>
  <c r="D143" s="1"/>
  <c r="D137"/>
  <c r="D129"/>
  <c r="D128"/>
  <c r="D122"/>
  <c r="D120"/>
  <c r="D119"/>
  <c r="D118"/>
  <c r="D112"/>
  <c r="D110"/>
  <c r="D102"/>
  <c r="D104" s="1"/>
  <c r="D97"/>
  <c r="D93"/>
  <c r="D92"/>
  <c r="D89"/>
  <c r="D87"/>
  <c r="D86"/>
  <c r="D85"/>
  <c r="D79"/>
  <c r="D74"/>
  <c r="D73"/>
  <c r="D71"/>
  <c r="D70"/>
  <c r="D69"/>
  <c r="D68"/>
  <c r="D75" s="1"/>
  <c r="D63"/>
  <c r="D62"/>
  <c r="D66" s="1"/>
  <c r="D55"/>
  <c r="D54"/>
  <c r="D53"/>
  <c r="D46"/>
  <c r="D44"/>
  <c r="D43"/>
  <c r="D51" s="1"/>
  <c r="D38"/>
  <c r="D37"/>
  <c r="D36"/>
  <c r="D35"/>
  <c r="D34"/>
  <c r="D27"/>
  <c r="D26"/>
  <c r="D25"/>
  <c r="D18"/>
  <c r="D17"/>
  <c r="D23" s="1"/>
  <c r="D16"/>
  <c r="D10"/>
  <c r="D9"/>
  <c r="D8"/>
  <c r="G266"/>
  <c r="G267" s="1"/>
  <c r="F266"/>
  <c r="F267" s="1"/>
  <c r="E266"/>
  <c r="E267" s="1"/>
  <c r="C262"/>
  <c r="G258"/>
  <c r="F258"/>
  <c r="E258"/>
  <c r="G256"/>
  <c r="F256"/>
  <c r="E256"/>
  <c r="G255"/>
  <c r="F255"/>
  <c r="E255"/>
  <c r="G254"/>
  <c r="G262" s="1"/>
  <c r="F254"/>
  <c r="E254"/>
  <c r="E262" s="1"/>
  <c r="C252"/>
  <c r="E249"/>
  <c r="G248"/>
  <c r="F248"/>
  <c r="G247"/>
  <c r="F247"/>
  <c r="E247"/>
  <c r="G246"/>
  <c r="F246"/>
  <c r="E246"/>
  <c r="C240"/>
  <c r="G238"/>
  <c r="E238"/>
  <c r="C235"/>
  <c r="G232"/>
  <c r="F232"/>
  <c r="E232"/>
  <c r="G230"/>
  <c r="E230"/>
  <c r="G229"/>
  <c r="F229"/>
  <c r="E229"/>
  <c r="G228"/>
  <c r="F228"/>
  <c r="E228"/>
  <c r="C226"/>
  <c r="G223"/>
  <c r="F223"/>
  <c r="E223"/>
  <c r="G221"/>
  <c r="F221"/>
  <c r="E221"/>
  <c r="G220"/>
  <c r="F220"/>
  <c r="F226" s="1"/>
  <c r="E220"/>
  <c r="C214"/>
  <c r="G212"/>
  <c r="F212"/>
  <c r="F214" s="1"/>
  <c r="E212"/>
  <c r="E214" s="1"/>
  <c r="C209"/>
  <c r="G204"/>
  <c r="F204"/>
  <c r="E204"/>
  <c r="G203"/>
  <c r="G202"/>
  <c r="F202"/>
  <c r="E202"/>
  <c r="G201"/>
  <c r="F201"/>
  <c r="E201"/>
  <c r="G200"/>
  <c r="G209" s="1"/>
  <c r="F200"/>
  <c r="E200"/>
  <c r="C198"/>
  <c r="G195"/>
  <c r="F195"/>
  <c r="E195"/>
  <c r="G194"/>
  <c r="F194"/>
  <c r="E194"/>
  <c r="G193"/>
  <c r="F193"/>
  <c r="E193"/>
  <c r="G192"/>
  <c r="F192"/>
  <c r="F198" s="1"/>
  <c r="E192"/>
  <c r="C185"/>
  <c r="G183"/>
  <c r="G182"/>
  <c r="F182"/>
  <c r="F185" s="1"/>
  <c r="E182"/>
  <c r="E185" s="1"/>
  <c r="C180"/>
  <c r="G177"/>
  <c r="F177"/>
  <c r="E177"/>
  <c r="G175"/>
  <c r="E175"/>
  <c r="G174"/>
  <c r="F174"/>
  <c r="E174"/>
  <c r="G173"/>
  <c r="F173"/>
  <c r="E173"/>
  <c r="C170"/>
  <c r="G168"/>
  <c r="F168"/>
  <c r="E168"/>
  <c r="G167"/>
  <c r="F167"/>
  <c r="E167"/>
  <c r="G166"/>
  <c r="F166"/>
  <c r="E166"/>
  <c r="G159"/>
  <c r="F159"/>
  <c r="E159"/>
  <c r="C154"/>
  <c r="F151"/>
  <c r="G150"/>
  <c r="E150"/>
  <c r="G149"/>
  <c r="F149"/>
  <c r="E149"/>
  <c r="F148"/>
  <c r="E148"/>
  <c r="G147"/>
  <c r="E147"/>
  <c r="G146"/>
  <c r="F146"/>
  <c r="E146"/>
  <c r="C143"/>
  <c r="E141"/>
  <c r="G140"/>
  <c r="E140"/>
  <c r="G139"/>
  <c r="F139"/>
  <c r="E139"/>
  <c r="G138"/>
  <c r="F138"/>
  <c r="E138"/>
  <c r="G137"/>
  <c r="F137"/>
  <c r="E137"/>
  <c r="C131"/>
  <c r="G129"/>
  <c r="F129"/>
  <c r="E129"/>
  <c r="G128"/>
  <c r="F128"/>
  <c r="F131" s="1"/>
  <c r="E128"/>
  <c r="C125"/>
  <c r="G122"/>
  <c r="F122"/>
  <c r="E122"/>
  <c r="G120"/>
  <c r="G119"/>
  <c r="F119"/>
  <c r="E119"/>
  <c r="G118"/>
  <c r="G125" s="1"/>
  <c r="F118"/>
  <c r="E118"/>
  <c r="E125" s="1"/>
  <c r="C115"/>
  <c r="G112"/>
  <c r="F112"/>
  <c r="E112"/>
  <c r="G110"/>
  <c r="F110"/>
  <c r="F115" s="1"/>
  <c r="E110"/>
  <c r="C104"/>
  <c r="G102"/>
  <c r="G104" s="1"/>
  <c r="F102"/>
  <c r="F104" s="1"/>
  <c r="E102"/>
  <c r="E104" s="1"/>
  <c r="C99"/>
  <c r="G97"/>
  <c r="F97"/>
  <c r="E97"/>
  <c r="G93"/>
  <c r="F93"/>
  <c r="E93"/>
  <c r="G92"/>
  <c r="F92"/>
  <c r="F99" s="1"/>
  <c r="E92"/>
  <c r="C90"/>
  <c r="E89"/>
  <c r="G87"/>
  <c r="F87"/>
  <c r="E87"/>
  <c r="G86"/>
  <c r="F86"/>
  <c r="E86"/>
  <c r="G85"/>
  <c r="G90" s="1"/>
  <c r="F85"/>
  <c r="E85"/>
  <c r="E90" s="1"/>
  <c r="G79"/>
  <c r="F79"/>
  <c r="E77"/>
  <c r="E79" s="1"/>
  <c r="C75"/>
  <c r="G74"/>
  <c r="F74"/>
  <c r="E74"/>
  <c r="G73"/>
  <c r="F73"/>
  <c r="E73"/>
  <c r="G71"/>
  <c r="F71"/>
  <c r="E71"/>
  <c r="G70"/>
  <c r="E70"/>
  <c r="G69"/>
  <c r="F69"/>
  <c r="E69"/>
  <c r="G68"/>
  <c r="F68"/>
  <c r="E68"/>
  <c r="C66"/>
  <c r="E64"/>
  <c r="G63"/>
  <c r="F63"/>
  <c r="E63"/>
  <c r="G62"/>
  <c r="F62"/>
  <c r="F66" s="1"/>
  <c r="E62"/>
  <c r="C56"/>
  <c r="G55"/>
  <c r="F55"/>
  <c r="E55"/>
  <c r="G54"/>
  <c r="F54"/>
  <c r="E54"/>
  <c r="G53"/>
  <c r="F53"/>
  <c r="F56" s="1"/>
  <c r="E53"/>
  <c r="F51"/>
  <c r="C51"/>
  <c r="E47"/>
  <c r="E46"/>
  <c r="E45"/>
  <c r="G44"/>
  <c r="G43"/>
  <c r="G51" s="1"/>
  <c r="E43"/>
  <c r="C41"/>
  <c r="E38"/>
  <c r="G37"/>
  <c r="F37"/>
  <c r="E37"/>
  <c r="G36"/>
  <c r="F36"/>
  <c r="E36"/>
  <c r="G35"/>
  <c r="F35"/>
  <c r="E35"/>
  <c r="E41" s="1"/>
  <c r="G34"/>
  <c r="F34"/>
  <c r="F41" s="1"/>
  <c r="G27"/>
  <c r="F27"/>
  <c r="E27"/>
  <c r="G26"/>
  <c r="F26"/>
  <c r="E26"/>
  <c r="G25"/>
  <c r="F25"/>
  <c r="F28" s="1"/>
  <c r="E25"/>
  <c r="C23"/>
  <c r="G18"/>
  <c r="F18"/>
  <c r="E18"/>
  <c r="G17"/>
  <c r="F17"/>
  <c r="E17"/>
  <c r="G16"/>
  <c r="F16"/>
  <c r="F23" s="1"/>
  <c r="E16"/>
  <c r="C14"/>
  <c r="G10"/>
  <c r="F10"/>
  <c r="E10"/>
  <c r="F9"/>
  <c r="E9"/>
  <c r="G8"/>
  <c r="F8"/>
  <c r="E8"/>
  <c r="D31" i="6" l="1"/>
  <c r="D28" i="1"/>
  <c r="D28" i="5"/>
  <c r="D28" i="4"/>
  <c r="D36" i="1"/>
  <c r="D28" i="2"/>
  <c r="F235" i="11"/>
  <c r="E23"/>
  <c r="G23"/>
  <c r="E28"/>
  <c r="G28"/>
  <c r="G41"/>
  <c r="E51"/>
  <c r="E56"/>
  <c r="G56"/>
  <c r="E66"/>
  <c r="G66"/>
  <c r="F90"/>
  <c r="E99"/>
  <c r="G99"/>
  <c r="E115"/>
  <c r="G115"/>
  <c r="F125"/>
  <c r="E131"/>
  <c r="G131"/>
  <c r="F143"/>
  <c r="E198"/>
  <c r="G198"/>
  <c r="F209"/>
  <c r="E226"/>
  <c r="G226"/>
  <c r="E235"/>
  <c r="E241" s="1"/>
  <c r="G235"/>
  <c r="G241" s="1"/>
  <c r="F262"/>
  <c r="E268"/>
  <c r="G268"/>
  <c r="D14"/>
  <c r="D28"/>
  <c r="D41"/>
  <c r="D56"/>
  <c r="D90"/>
  <c r="D105" s="1"/>
  <c r="D99"/>
  <c r="D115"/>
  <c r="D125"/>
  <c r="D131"/>
  <c r="D132" s="1"/>
  <c r="D154"/>
  <c r="D160" s="1"/>
  <c r="D180"/>
  <c r="D187" s="1"/>
  <c r="D198"/>
  <c r="D215" s="1"/>
  <c r="D80"/>
  <c r="D241"/>
  <c r="D29"/>
  <c r="D57"/>
  <c r="D268"/>
  <c r="E209"/>
  <c r="F14"/>
  <c r="F29" s="1"/>
  <c r="G57"/>
  <c r="E75"/>
  <c r="E80" s="1"/>
  <c r="G75"/>
  <c r="G80" s="1"/>
  <c r="F252"/>
  <c r="G252"/>
  <c r="E252"/>
  <c r="E105"/>
  <c r="G105"/>
  <c r="F132"/>
  <c r="F241"/>
  <c r="F75"/>
  <c r="F80" s="1"/>
  <c r="G215"/>
  <c r="E215"/>
  <c r="F154"/>
  <c r="G154"/>
  <c r="E154"/>
  <c r="F180"/>
  <c r="E160"/>
  <c r="G160"/>
  <c r="F187"/>
  <c r="F105"/>
  <c r="E132"/>
  <c r="G132"/>
  <c r="F215"/>
  <c r="E14"/>
  <c r="E29" s="1"/>
  <c r="G14"/>
  <c r="G29" s="1"/>
  <c r="E57"/>
  <c r="E143"/>
  <c r="G143"/>
  <c r="F160"/>
  <c r="E180"/>
  <c r="G180"/>
  <c r="E187"/>
  <c r="G185"/>
  <c r="G187" s="1"/>
  <c r="F268"/>
  <c r="E31" i="10"/>
  <c r="E17"/>
  <c r="E29" i="9"/>
  <c r="E16"/>
  <c r="E31" i="8"/>
  <c r="E17"/>
  <c r="E29" i="7"/>
  <c r="E16"/>
  <c r="E38" i="6"/>
  <c r="E31"/>
  <c r="E17"/>
  <c r="E28" i="5"/>
  <c r="E16" i="4"/>
  <c r="E25" i="3"/>
  <c r="E13" l="1"/>
  <c r="E27" i="1"/>
  <c r="D27" i="10"/>
  <c r="D25"/>
  <c r="D24"/>
  <c r="D23"/>
  <c r="C31"/>
  <c r="D13"/>
  <c r="D12"/>
  <c r="D11"/>
  <c r="C17"/>
  <c r="D36" i="9"/>
  <c r="C38"/>
  <c r="D14"/>
  <c r="D12"/>
  <c r="D11"/>
  <c r="C29"/>
  <c r="C16"/>
  <c r="D38" i="8"/>
  <c r="C40"/>
  <c r="C31"/>
  <c r="D14"/>
  <c r="D13"/>
  <c r="D12"/>
  <c r="D11"/>
  <c r="D17" s="1"/>
  <c r="C17"/>
  <c r="C38" i="7"/>
  <c r="C29"/>
  <c r="C16"/>
  <c r="D15" i="6"/>
  <c r="D14"/>
  <c r="D13"/>
  <c r="D12"/>
  <c r="D11"/>
  <c r="D39"/>
  <c r="C31"/>
  <c r="C37" i="5"/>
  <c r="C28"/>
  <c r="D13"/>
  <c r="D11"/>
  <c r="C16"/>
  <c r="D17" i="10" l="1"/>
  <c r="D31"/>
  <c r="D16" i="9"/>
  <c r="D17" i="6"/>
  <c r="D16" i="5"/>
  <c r="C36" i="4" l="1"/>
  <c r="D15"/>
  <c r="D13"/>
  <c r="D12"/>
  <c r="D11"/>
  <c r="D16" s="1"/>
  <c r="C16"/>
  <c r="D32" i="3"/>
  <c r="C25"/>
  <c r="D10"/>
  <c r="D9"/>
  <c r="D13" s="1"/>
  <c r="C13"/>
  <c r="C36" i="2"/>
  <c r="C28"/>
  <c r="D13"/>
  <c r="D12"/>
  <c r="D11"/>
  <c r="D10"/>
  <c r="D9"/>
  <c r="C28" i="1"/>
  <c r="D11"/>
  <c r="D10"/>
  <c r="D9"/>
  <c r="C15"/>
  <c r="D15" l="1"/>
  <c r="E16" i="5" l="1"/>
  <c r="E28" i="2"/>
  <c r="E15"/>
  <c r="E28" i="1"/>
  <c r="E15"/>
  <c r="E35" i="9" l="1"/>
  <c r="E37" i="8"/>
  <c r="E35" i="7"/>
  <c r="E38" s="1"/>
  <c r="E36" i="6"/>
  <c r="E39" s="1"/>
  <c r="E37" i="5"/>
  <c r="E36" i="4"/>
  <c r="E33" i="1"/>
  <c r="E32" i="3" l="1"/>
  <c r="E36" i="1"/>
  <c r="D4" i="10" l="1"/>
  <c r="D4" i="9"/>
  <c r="D4" i="8"/>
  <c r="D4" i="7"/>
  <c r="D4" i="6"/>
  <c r="D2" i="5"/>
  <c r="D2" i="10" s="1"/>
  <c r="D3" i="5"/>
  <c r="D3" i="9" s="1"/>
  <c r="D1" i="5"/>
  <c r="D1" i="10" s="1"/>
  <c r="C2" i="4"/>
  <c r="C3"/>
  <c r="D1"/>
  <c r="C2" i="3"/>
  <c r="C3"/>
  <c r="C4"/>
  <c r="C4" i="2"/>
  <c r="C3"/>
  <c r="C2"/>
  <c r="D1" i="6" l="1"/>
  <c r="D1" i="7"/>
  <c r="D1" i="8"/>
  <c r="D1" i="9"/>
  <c r="D3" i="10"/>
  <c r="D3" i="6"/>
  <c r="D3" i="7"/>
  <c r="D3" i="8"/>
  <c r="D2" i="6"/>
  <c r="D2" i="7"/>
  <c r="D2" i="8"/>
  <c r="D2" i="9"/>
  <c r="A41" i="10"/>
  <c r="A41" i="9"/>
  <c r="A42" i="8"/>
  <c r="A41" i="7"/>
  <c r="A42" i="6"/>
  <c r="A41" i="5"/>
  <c r="A38" i="4"/>
  <c r="A34" i="3"/>
  <c r="A38" i="2"/>
  <c r="A4" i="10" l="1"/>
  <c r="A3"/>
  <c r="A2"/>
  <c r="A1"/>
  <c r="A4" i="9"/>
  <c r="A3"/>
  <c r="A2"/>
  <c r="A1"/>
  <c r="A4" i="8"/>
  <c r="A3"/>
  <c r="A2"/>
  <c r="A1"/>
  <c r="A4" i="7"/>
  <c r="A3"/>
  <c r="A2"/>
  <c r="A1"/>
  <c r="A4" i="6"/>
  <c r="A3"/>
  <c r="A2"/>
  <c r="A1"/>
  <c r="A4" i="4"/>
  <c r="A3"/>
  <c r="A2"/>
  <c r="A1"/>
  <c r="A4" i="5"/>
  <c r="A3"/>
  <c r="A2"/>
  <c r="A1"/>
  <c r="C15" i="2"/>
  <c r="D15"/>
</calcChain>
</file>

<file path=xl/sharedStrings.xml><?xml version="1.0" encoding="utf-8"?>
<sst xmlns="http://schemas.openxmlformats.org/spreadsheetml/2006/main" count="789" uniqueCount="177">
  <si>
    <t>Прием пищи, наименование блюда</t>
  </si>
  <si>
    <t>Масса порции</t>
  </si>
  <si>
    <t>Энергети-ческая ценность, ккал</t>
  </si>
  <si>
    <t>СЫР (ПОРЦИЯМИ)</t>
  </si>
  <si>
    <t xml:space="preserve">ЧАЙ С МОЛОКОМ </t>
  </si>
  <si>
    <t>ХЛЕБ ПШЕНИЧНЫЙ</t>
  </si>
  <si>
    <t>ХЛЕБ РЖАНОЙ</t>
  </si>
  <si>
    <t>Итого за прием пищи:</t>
  </si>
  <si>
    <t>ИКРА КАБАЧКОВАЯ</t>
  </si>
  <si>
    <t>БОРЩ С КАПУСТОЙ И КАРТОФЕЛЕМ</t>
  </si>
  <si>
    <t>КАША РАССЫПЧАТАЯ ПЕРЛОВАЯ</t>
  </si>
  <si>
    <t>СОК ФРУКТОВЫЙ/ВИШНЕВЫЙ/</t>
  </si>
  <si>
    <t>ЗАПЕКАНКА  КАРТОФЕЛЬНАЯ С СУБПРОДУКТАМИ/ПЕЧЕНЬ/</t>
  </si>
  <si>
    <t>Согласовано</t>
  </si>
  <si>
    <t>Директор ООО "ВитаЛайн"</t>
  </si>
  <si>
    <t>_____________Н.Н.Клоков</t>
  </si>
  <si>
    <t>№ п/п</t>
  </si>
  <si>
    <t>Утверждаю</t>
  </si>
  <si>
    <t>РАГУ ИЗ ОВОЩЕЙ</t>
  </si>
  <si>
    <t>КОТЛЕТЫ, ИЗ ГОВЯДИНЫ</t>
  </si>
  <si>
    <t>КОФЕЙНЫЙ НАПИТОК С МОЛОКОМ</t>
  </si>
  <si>
    <t>САЛАТ ИЗ СВЕКЛЫ С СЫРОМ И ЧЕСНОКОМ</t>
  </si>
  <si>
    <t>КАРТОФЕЛЬ В МОЛОКЕ</t>
  </si>
  <si>
    <t>СУФЛЕ ИЗ КУР</t>
  </si>
  <si>
    <t>СОК ФРУКТОВЫЙ/ЯБЛОЧНЫЙ/</t>
  </si>
  <si>
    <t>МОЛОКО 2,5% ПРОМ ПРОИЗВОДСТВА</t>
  </si>
  <si>
    <t>ЗАПЕКАНКА ИЗ ТВОРОГА С МОРКОВЬЮ С СОУСОМ 337</t>
  </si>
  <si>
    <t>КОМПОТ ИЗ СВЕЖИХ ПЛОДОВ (1-ЫЙ ВАРИАНТ)</t>
  </si>
  <si>
    <t>№п/п</t>
  </si>
  <si>
    <t>ОВОЩИ НАТУРАЛЬНЫЕ СОЛЕНЫЕ/ПОМИДОРЫ /</t>
  </si>
  <si>
    <t>СОК ФРУКТОВЫЙ/ВИНОГРАДНЫЙ/</t>
  </si>
  <si>
    <t>САЛАТ ИЗ БЕЛОКОЧАННОЙ КАПУСТЫ С МОРКОВЬЮ</t>
  </si>
  <si>
    <t xml:space="preserve">СУП КАРТОФЕЛЬНЫЙ С КЛЕЦКАМИ </t>
  </si>
  <si>
    <t>ЖАРКОЕ ПО-ДОМАШНЕМУ</t>
  </si>
  <si>
    <t>БУТЕРБРОДЫ С  КОТЛЕТОЙ</t>
  </si>
  <si>
    <t>САЛАТ ИЗ КВАШЕНОЙ КАПУСТЫ</t>
  </si>
  <si>
    <t>РАГУ ИЗ  ЦЫПЛЕНКА-БРОЙЛЕРА</t>
  </si>
  <si>
    <t>ИКРА СВЕКОЛЬНАЯ</t>
  </si>
  <si>
    <t>РАССОЛЬНИК ЛЕНИНГРАДСКИЙ</t>
  </si>
  <si>
    <t>САЛАТ ИЗ МОРКОВИ И КУРАГИ С ЙОГУРТОМ</t>
  </si>
  <si>
    <t>ЩИ ИЗ СВЕЖЕЙ КАПУСТЫ</t>
  </si>
  <si>
    <t>САЛАТ ИЗ СВЕКЛЫ С КУРАГОЙ И ИЗЮМОМ</t>
  </si>
  <si>
    <t>КАПУСТА ТУШЕНАЯ ИЗ  КВАШЕНОЙ</t>
  </si>
  <si>
    <t>КАКАО С МОЛОКОМ</t>
  </si>
  <si>
    <t>ПЮРЕ КАРТОФЕЛЬНОЕ</t>
  </si>
  <si>
    <t>СУП ИЗ ОВОЩЕЙ</t>
  </si>
  <si>
    <t>МАКАРОНЫ ОТВАРНЫЕ С СЫРОМ</t>
  </si>
  <si>
    <t>САЛАТ ВИТАМИННЫЙ</t>
  </si>
  <si>
    <t>ЧАЙ С САХАРОМ</t>
  </si>
  <si>
    <t>БУТЕРБРОДЫ С МЯСНОЙ КОТЛЕТОЙ</t>
  </si>
  <si>
    <t>ЧАЙ С ЛИМОНОМ</t>
  </si>
  <si>
    <t>КОНДИТЕРСКИЕ ИЗДЕЛИЯ/ПЕЧЕНЬЕ/</t>
  </si>
  <si>
    <t>САЛАТ ИЗ СОЛЕНЫХ ОГУРЦОВ С ЛУКОМ</t>
  </si>
  <si>
    <t>БОРЩ С ФАСОЛЬЮ И КАРТОФЕЛЕМ</t>
  </si>
  <si>
    <t>КАРТОФЕЛЬ И ОВОЩИ, ТУШЕННЫЕ В СОУСЕ</t>
  </si>
  <si>
    <t>ЗАПЕКАНКА ОВОЩНАЯ</t>
  </si>
  <si>
    <t>КОМПОТ ИЗ СМЕСИ СУХОФРУКТОВ</t>
  </si>
  <si>
    <t>САЛАТ ИЗ МОРКОВИ С ИЗЮМОМ</t>
  </si>
  <si>
    <t>ПОДЖАРКА ИЗ РЫБЫ</t>
  </si>
  <si>
    <t>ВИНЕГРЕТ ОВОЩНОЙ</t>
  </si>
  <si>
    <t>СУП КАРТОФЕЛЬНЫЙ С МАКАРОННЫМИ ИЗДЕЛИЯМИ</t>
  </si>
  <si>
    <t>КАПУСТА, ТУШЕННАЯ С ЯБЛОКАМИ</t>
  </si>
  <si>
    <t>МЮСЛИ /ХЛОПЬЯ КУКУРУЗНЫЕ ИЛИ ПШЕНИЧНЫЕ/ С МОЛОКОМ</t>
  </si>
  <si>
    <t>САЛАТ ИЗ БЕЛОКОЧАННОЙ КАПУСТЫ С ЯБЛОКАМИ</t>
  </si>
  <si>
    <t>КАША РАССЫПЧАТАЯ ГРЕЧНЕВАЯ</t>
  </si>
  <si>
    <t>РЫБА, ЗАПЕЧЕННАЯ С КАРТОФЕЛЕМ ПО-РУССКИ С ЗЕЛ ГОРОШКОМ</t>
  </si>
  <si>
    <t>КИСЕЛЬ ИЗ ЯБЛОК СУШЕНЫХ</t>
  </si>
  <si>
    <t>ПЕЧЕНЬ ПО-СТРОГАНОВСКИ</t>
  </si>
  <si>
    <t>КИСЕЛЬ ИЗ КУРАГИ</t>
  </si>
  <si>
    <t>МАКАРОНЫ, ЗАПЕЧЕННЫЕ С СЫРОМ</t>
  </si>
  <si>
    <t>"___"______________2023 г</t>
  </si>
  <si>
    <t>"____"__________2023 г.</t>
  </si>
  <si>
    <t>______________/______________/</t>
  </si>
  <si>
    <t>Директор МБОУ _____________</t>
  </si>
  <si>
    <t xml:space="preserve">    Заведующий производством  _______________/  ______________/                              /</t>
  </si>
  <si>
    <t>"_____"________________2023 г.</t>
  </si>
  <si>
    <t>"_____"__________________2023 г.</t>
  </si>
  <si>
    <t>Цена розничная</t>
  </si>
  <si>
    <t>ЕЖЕДНЕВНОЕ МЕНЮ ЗАВТРАК 1-4 КЛАСС</t>
  </si>
  <si>
    <t>ЕЖЕДНЕВНОЕ МЕНЮ ОБЕД 1-4 КЛАСС</t>
  </si>
  <si>
    <t>ЕЖЕДНЕВНОЕ МЕНЮ  ПОЛДНИК 1-4 КЛАСС</t>
  </si>
  <si>
    <t xml:space="preserve">КАША ВЯЗКАЯ ИЗ РИСА И ПШЕНА </t>
  </si>
  <si>
    <t>ФРУКТЫ СВЕЖИЕ*/ЯБЛОКО/</t>
  </si>
  <si>
    <t>КИСЛОМОЛОЧНЫЙ НАПИТОК**/СНЕЖОК/</t>
  </si>
  <si>
    <t>*  ДОПУСКАЕТСЯ ВЫДАЧА ДРУГИХ ФРУКТОВ В ЗАВИСИМОСТИ ОТ СЕЗОНА</t>
  </si>
  <si>
    <t>** ДОПУСКАЕТСЯ ВЫДАЧА ДРУГИХ КИСЛОМОЛОЧНЫХ ПРОДУКТОВ (С УЧЕТОМ ИХ ПИЩЕВОЙ ЦЕННОСТИ)</t>
  </si>
  <si>
    <t>СУП  С БОБОВЫМИ /ГОРОХ/</t>
  </si>
  <si>
    <t>РУЛЕТ С МАКАРОНАМИ</t>
  </si>
  <si>
    <t>КИСЛОМОЛОЧНЫЙ НАПИТОК** /КЕФИР/</t>
  </si>
  <si>
    <t>ФРУКТЫ СВЕЖИЕ*/ГРУША/</t>
  </si>
  <si>
    <t>КОНДИТЕРСКИЕ ИЗДЕЛИЯ*** /НЕ КРЕМОВЫЕ/</t>
  </si>
  <si>
    <t>МАКАРОНЫ ЗАПЕЧЕННЫЕ С ЯЙЦОМ</t>
  </si>
  <si>
    <t>ЗАПЕКАНКА ИЗ ТВОРОГА С ПОВИДЛОМ 160/30</t>
  </si>
  <si>
    <t>БИТОЧКИ  С СОУСОМ  90/30</t>
  </si>
  <si>
    <t>ГУЛЯШ</t>
  </si>
  <si>
    <t>БУЛОЧКА ОБСЫПНАЯ П/П</t>
  </si>
  <si>
    <t>ЗАПЕКАНКА ИЗ ТВОРОГА/СГУЩЕННОЕ МОЛОКО /120/30</t>
  </si>
  <si>
    <t>КОТЛЕТЫ ИЗ КУР РУБЛЕННЫЕ ЗАПЕЧЕННЫЕ С МОЛОЧНЫМ СОУСОМ90/20</t>
  </si>
  <si>
    <t>ЗАПЕКАНКА РИСОВАЯ СО СГУЩЕННЫМ МОЛОКОМ 130/20</t>
  </si>
  <si>
    <t>ЯБЛОКИ ПЕЧЕНЫЕ</t>
  </si>
  <si>
    <t>БУТЕРБРОД С ПОВИДЛОМ</t>
  </si>
  <si>
    <t>ТЕФТЕЛИ С СОУСОМ  90/30</t>
  </si>
  <si>
    <t>СУП МОЛОЧНЫЙ С КЛЕЦКАМ И</t>
  </si>
  <si>
    <t xml:space="preserve">БУТЕРБРОД С МАСЛОМ </t>
  </si>
  <si>
    <t>"УТВЕРЖДАЮ"
""____""______________ 2023 Г"</t>
  </si>
  <si>
    <t>Пищевые вещества</t>
  </si>
  <si>
    <t>Белки, г</t>
  </si>
  <si>
    <t>Жиры, г</t>
  </si>
  <si>
    <t>Углеводы, г</t>
  </si>
  <si>
    <t>КОТЛЕТЫ РЫБНЫЕ/СОУС 332  90/25</t>
  </si>
  <si>
    <t>Всего за день:</t>
  </si>
  <si>
    <t>БИТОЧКИ РЫБНЫЕ НА ОВОЩНОЙ ПОДУШКЕ С СОУСОМ 90//110/25</t>
  </si>
  <si>
    <t>КАША ПШЕННАЯ С ТЫКВОЙ И ЯБЛОКАМИ</t>
  </si>
  <si>
    <t>6*0,2</t>
  </si>
  <si>
    <t>ПЕЧЕНЬ, ТУШЕНАЯ В ТОМАТНОМ СОУСЕ</t>
  </si>
  <si>
    <t>КОНДИТЕРСКИЕ ИЗДЕЛИЯ/НЕ КРЕМОВОЕ/</t>
  </si>
  <si>
    <t>Итого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</si>
  <si>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</si>
  <si>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</si>
  <si>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</si>
  <si>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Возраст детей</t>
  </si>
  <si>
    <t>7-11 лет</t>
  </si>
  <si>
    <t>№ рецеп-туры</t>
  </si>
  <si>
    <t>15</t>
  </si>
  <si>
    <t>378</t>
  </si>
  <si>
    <t>338</t>
  </si>
  <si>
    <t>73</t>
  </si>
  <si>
    <t>82</t>
  </si>
  <si>
    <t>234</t>
  </si>
  <si>
    <t>389</t>
  </si>
  <si>
    <t>284</t>
  </si>
  <si>
    <t>386</t>
  </si>
  <si>
    <t>21</t>
  </si>
  <si>
    <t>268</t>
  </si>
  <si>
    <t>379</t>
  </si>
  <si>
    <t>50</t>
  </si>
  <si>
    <t>пп</t>
  </si>
  <si>
    <t>224</t>
  </si>
  <si>
    <t>342.1</t>
  </si>
  <si>
    <t>70</t>
  </si>
  <si>
    <t>45</t>
  </si>
  <si>
    <t>118.1</t>
  </si>
  <si>
    <t>259</t>
  </si>
  <si>
    <t>5</t>
  </si>
  <si>
    <t>47</t>
  </si>
  <si>
    <t>289</t>
  </si>
  <si>
    <t>96</t>
  </si>
  <si>
    <t>ТТК</t>
  </si>
  <si>
    <t>64</t>
  </si>
  <si>
    <t>51</t>
  </si>
  <si>
    <t>87</t>
  </si>
  <si>
    <t>139</t>
  </si>
  <si>
    <t>382</t>
  </si>
  <si>
    <t>312</t>
  </si>
  <si>
    <t>354</t>
  </si>
  <si>
    <t>ТТК 2</t>
  </si>
  <si>
    <t>ПП</t>
  </si>
  <si>
    <t>377</t>
  </si>
  <si>
    <t>223</t>
  </si>
  <si>
    <t>84</t>
  </si>
  <si>
    <t>142</t>
  </si>
  <si>
    <t>165</t>
  </si>
  <si>
    <t>349</t>
  </si>
  <si>
    <t>66</t>
  </si>
  <si>
    <t>ТТК 6</t>
  </si>
  <si>
    <t>67</t>
  </si>
  <si>
    <t>103</t>
  </si>
  <si>
    <t>322</t>
  </si>
  <si>
    <t>179</t>
  </si>
  <si>
    <t>46</t>
  </si>
  <si>
    <t>302.1</t>
  </si>
  <si>
    <t>279</t>
  </si>
  <si>
    <t>235</t>
  </si>
  <si>
    <t>255</t>
  </si>
  <si>
    <t>352</t>
  </si>
  <si>
    <t>ТТК 5</t>
  </si>
  <si>
    <t>КАША  ПШЕНИЧНАЯ С ТЫКВОЙ И ЯБЛОКАМИ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</si>
</sst>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6" xfId="0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Border="1"/>
    <xf numFmtId="0" fontId="6" fillId="0" borderId="0" xfId="0" applyFont="1" applyAlignment="1"/>
    <xf numFmtId="0" fontId="10" fillId="2" borderId="0" xfId="0" applyFont="1" applyFill="1"/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/>
    <xf numFmtId="0" fontId="11" fillId="2" borderId="0" xfId="0" applyFont="1" applyFill="1" applyBorder="1"/>
    <xf numFmtId="0" fontId="10" fillId="2" borderId="5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" fontId="6" fillId="0" borderId="0" xfId="0" applyNumberFormat="1" applyFont="1"/>
    <xf numFmtId="0" fontId="6" fillId="3" borderId="0" xfId="0" applyFont="1" applyFill="1" applyBorder="1" applyAlignment="1"/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" fontId="1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4" fontId="11" fillId="2" borderId="0" xfId="0" applyNumberFormat="1" applyFont="1" applyFill="1"/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4" fontId="2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/>
    <xf numFmtId="0" fontId="2" fillId="2" borderId="0" xfId="0" applyFont="1" applyFill="1" applyAlignment="1"/>
    <xf numFmtId="0" fontId="10" fillId="2" borderId="0" xfId="0" applyFont="1" applyFill="1" applyAlignment="1"/>
    <xf numFmtId="4" fontId="10" fillId="2" borderId="0" xfId="0" applyNumberFormat="1" applyFont="1" applyFill="1" applyAlignment="1"/>
    <xf numFmtId="0" fontId="10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0" xfId="0" applyFont="1" applyFill="1" applyBorder="1" applyAlignment="1">
      <alignment horizontal="right"/>
    </xf>
    <xf numFmtId="0" fontId="0" fillId="0" borderId="0" xfId="0" applyAlignment="1"/>
    <xf numFmtId="0" fontId="9" fillId="0" borderId="0" xfId="0" applyFont="1" applyBorder="1" applyAlignment="1"/>
    <xf numFmtId="0" fontId="11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10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top" wrapText="1"/>
    </xf>
    <xf numFmtId="4" fontId="10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2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14" fillId="2" borderId="12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14" fillId="2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opLeftCell="A7" workbookViewId="0">
      <selection activeCell="F23" sqref="F23"/>
    </sheetView>
  </sheetViews>
  <sheetFormatPr defaultColWidth="8.85546875" defaultRowHeight="15"/>
  <cols>
    <col min="1" max="1" width="6" style="27" customWidth="1"/>
    <col min="2" max="2" width="60.7109375" style="27" customWidth="1"/>
    <col min="3" max="3" width="8.85546875" style="27"/>
    <col min="4" max="4" width="13.42578125" style="92" customWidth="1"/>
    <col min="5" max="5" width="8.85546875" style="63"/>
    <col min="6" max="16384" width="8.85546875" style="27"/>
  </cols>
  <sheetData>
    <row r="1" spans="1:7" s="32" customFormat="1" ht="26.25" customHeight="1">
      <c r="A1" s="7" t="s">
        <v>17</v>
      </c>
      <c r="B1" s="7"/>
      <c r="C1" s="7"/>
      <c r="D1" s="121" t="s">
        <v>13</v>
      </c>
      <c r="E1" s="122"/>
    </row>
    <row r="2" spans="1:7" s="32" customFormat="1" ht="26.25" customHeight="1">
      <c r="A2" s="7" t="s">
        <v>14</v>
      </c>
      <c r="B2" s="7"/>
      <c r="C2" s="123" t="s">
        <v>73</v>
      </c>
      <c r="D2" s="124"/>
      <c r="E2" s="124"/>
    </row>
    <row r="3" spans="1:7" s="32" customFormat="1" ht="26.25" customHeight="1">
      <c r="A3" s="7" t="s">
        <v>15</v>
      </c>
      <c r="B3" s="7"/>
      <c r="C3" s="123" t="s">
        <v>72</v>
      </c>
      <c r="D3" s="124"/>
      <c r="E3" s="124"/>
    </row>
    <row r="4" spans="1:7" s="32" customFormat="1" ht="26.25" customHeight="1">
      <c r="A4" s="7" t="s">
        <v>70</v>
      </c>
      <c r="B4" s="7"/>
      <c r="C4" s="123" t="s">
        <v>71</v>
      </c>
      <c r="D4" s="125"/>
      <c r="E4" s="124"/>
    </row>
    <row r="6" spans="1:7" s="33" customFormat="1" ht="28.35" customHeight="1">
      <c r="B6" s="126" t="s">
        <v>78</v>
      </c>
      <c r="C6" s="126"/>
      <c r="D6" s="126"/>
      <c r="E6" s="50"/>
    </row>
    <row r="7" spans="1:7" s="33" customFormat="1" ht="13.35" customHeight="1">
      <c r="A7" s="130" t="s">
        <v>16</v>
      </c>
      <c r="B7" s="127" t="s">
        <v>0</v>
      </c>
      <c r="C7" s="120" t="s">
        <v>1</v>
      </c>
      <c r="D7" s="128" t="s">
        <v>2</v>
      </c>
      <c r="E7" s="120" t="s">
        <v>77</v>
      </c>
    </row>
    <row r="8" spans="1:7" s="33" customFormat="1" ht="26.65" customHeight="1" thickBot="1">
      <c r="A8" s="131"/>
      <c r="B8" s="127"/>
      <c r="C8" s="120"/>
      <c r="D8" s="128"/>
      <c r="E8" s="120"/>
    </row>
    <row r="9" spans="1:7" s="33" customFormat="1" ht="12.2" customHeight="1">
      <c r="A9" s="34">
        <v>1</v>
      </c>
      <c r="B9" s="2" t="s">
        <v>81</v>
      </c>
      <c r="C9" s="3">
        <v>150</v>
      </c>
      <c r="D9" s="12">
        <f>260*160/210</f>
        <v>198.0952380952381</v>
      </c>
      <c r="E9" s="82">
        <v>35</v>
      </c>
    </row>
    <row r="10" spans="1:7" s="33" customFormat="1" ht="12.2" customHeight="1">
      <c r="A10" s="34">
        <v>2</v>
      </c>
      <c r="B10" s="2" t="s">
        <v>3</v>
      </c>
      <c r="C10" s="3">
        <v>20</v>
      </c>
      <c r="D10" s="12">
        <f>108*20/30</f>
        <v>72</v>
      </c>
      <c r="E10" s="12">
        <v>20</v>
      </c>
    </row>
    <row r="11" spans="1:7" s="33" customFormat="1" ht="12.2" customHeight="1">
      <c r="A11" s="34">
        <v>3</v>
      </c>
      <c r="B11" s="2" t="s">
        <v>4</v>
      </c>
      <c r="C11" s="4">
        <v>180</v>
      </c>
      <c r="D11" s="12">
        <f>81*180/200</f>
        <v>72.900000000000006</v>
      </c>
      <c r="E11" s="12">
        <v>10</v>
      </c>
    </row>
    <row r="12" spans="1:7" s="33" customFormat="1" ht="12.2" customHeight="1">
      <c r="A12" s="34">
        <v>4</v>
      </c>
      <c r="B12" s="2" t="s">
        <v>82</v>
      </c>
      <c r="C12" s="3">
        <v>100</v>
      </c>
      <c r="D12" s="12">
        <v>56.4</v>
      </c>
      <c r="E12" s="12">
        <v>10</v>
      </c>
    </row>
    <row r="13" spans="1:7" s="33" customFormat="1" ht="12.2" customHeight="1">
      <c r="A13" s="34">
        <v>5</v>
      </c>
      <c r="B13" s="2" t="s">
        <v>5</v>
      </c>
      <c r="C13" s="3">
        <v>30</v>
      </c>
      <c r="D13" s="12">
        <v>142.1</v>
      </c>
      <c r="E13" s="12">
        <v>3</v>
      </c>
    </row>
    <row r="14" spans="1:7" s="33" customFormat="1" ht="12.2" customHeight="1">
      <c r="A14" s="34">
        <v>6</v>
      </c>
      <c r="B14" s="2" t="s">
        <v>6</v>
      </c>
      <c r="C14" s="3">
        <v>20</v>
      </c>
      <c r="D14" s="12">
        <v>46</v>
      </c>
      <c r="E14" s="12">
        <v>3</v>
      </c>
    </row>
    <row r="15" spans="1:7" s="38" customFormat="1" ht="12.2" customHeight="1" thickBot="1">
      <c r="A15" s="35"/>
      <c r="B15" s="88" t="s">
        <v>7</v>
      </c>
      <c r="C15" s="89">
        <f>SUM(C9:C14)</f>
        <v>500</v>
      </c>
      <c r="D15" s="19">
        <f t="shared" ref="D15" si="0">SUM(D9:D14)</f>
        <v>587.49523809523805</v>
      </c>
      <c r="E15" s="79">
        <f t="shared" ref="E15" si="1">E9+E10+E11+E12+E13+E14</f>
        <v>81</v>
      </c>
      <c r="G15" s="78">
        <v>82</v>
      </c>
    </row>
    <row r="16" spans="1:7" s="38" customFormat="1" ht="12.2" customHeight="1">
      <c r="A16" s="39"/>
      <c r="B16" s="40"/>
      <c r="C16" s="41"/>
      <c r="D16" s="47"/>
      <c r="E16" s="64"/>
    </row>
    <row r="17" spans="1:7" s="38" customFormat="1" ht="12.2" customHeight="1">
      <c r="A17" s="39"/>
      <c r="B17" s="40"/>
      <c r="C17" s="41"/>
      <c r="D17" s="47"/>
      <c r="E17" s="64"/>
    </row>
    <row r="18" spans="1:7" s="33" customFormat="1" ht="28.35" customHeight="1">
      <c r="B18" s="126" t="s">
        <v>79</v>
      </c>
      <c r="C18" s="126"/>
      <c r="D18" s="126"/>
      <c r="E18" s="50"/>
    </row>
    <row r="19" spans="1:7" s="33" customFormat="1" ht="13.35" customHeight="1">
      <c r="A19" s="130" t="s">
        <v>16</v>
      </c>
      <c r="B19" s="127" t="s">
        <v>0</v>
      </c>
      <c r="C19" s="120" t="s">
        <v>1</v>
      </c>
      <c r="D19" s="128" t="s">
        <v>2</v>
      </c>
      <c r="E19" s="120" t="s">
        <v>77</v>
      </c>
    </row>
    <row r="20" spans="1:7" s="33" customFormat="1" ht="26.65" customHeight="1" thickBot="1">
      <c r="A20" s="131"/>
      <c r="B20" s="127"/>
      <c r="C20" s="120"/>
      <c r="D20" s="128"/>
      <c r="E20" s="120"/>
    </row>
    <row r="21" spans="1:7" s="33" customFormat="1" ht="12.2" customHeight="1">
      <c r="A21" s="34">
        <v>1</v>
      </c>
      <c r="B21" s="2" t="s">
        <v>8</v>
      </c>
      <c r="C21" s="3">
        <v>60</v>
      </c>
      <c r="D21" s="12">
        <f>1338*0.06</f>
        <v>80.28</v>
      </c>
      <c r="E21" s="83">
        <v>10</v>
      </c>
    </row>
    <row r="22" spans="1:7" s="33" customFormat="1" ht="12.2" customHeight="1">
      <c r="A22" s="34">
        <v>2</v>
      </c>
      <c r="B22" s="2" t="s">
        <v>9</v>
      </c>
      <c r="C22" s="3">
        <v>200</v>
      </c>
      <c r="D22" s="12">
        <f>415*0.2</f>
        <v>83</v>
      </c>
      <c r="E22" s="84">
        <v>20</v>
      </c>
    </row>
    <row r="23" spans="1:7" s="33" customFormat="1" ht="12.2" customHeight="1">
      <c r="A23" s="34">
        <v>3</v>
      </c>
      <c r="B23" s="2" t="s">
        <v>10</v>
      </c>
      <c r="C23" s="3">
        <v>150</v>
      </c>
      <c r="D23" s="12">
        <f>220*150/160</f>
        <v>206.25</v>
      </c>
      <c r="E23" s="84">
        <v>13.5</v>
      </c>
    </row>
    <row r="24" spans="1:7" s="33" customFormat="1" ht="12.2" customHeight="1">
      <c r="A24" s="34">
        <v>4</v>
      </c>
      <c r="B24" s="2" t="s">
        <v>109</v>
      </c>
      <c r="C24" s="4">
        <v>115</v>
      </c>
      <c r="D24" s="12">
        <v>165.31</v>
      </c>
      <c r="E24" s="84">
        <v>40</v>
      </c>
    </row>
    <row r="25" spans="1:7" s="33" customFormat="1" ht="12.2" customHeight="1">
      <c r="A25" s="34">
        <v>5</v>
      </c>
      <c r="B25" s="2" t="s">
        <v>11</v>
      </c>
      <c r="C25" s="3">
        <v>200</v>
      </c>
      <c r="D25" s="12">
        <v>100.4</v>
      </c>
      <c r="E25" s="84">
        <v>10</v>
      </c>
    </row>
    <row r="26" spans="1:7" s="33" customFormat="1" ht="12.2" customHeight="1">
      <c r="A26" s="34">
        <v>6</v>
      </c>
      <c r="B26" s="2" t="s">
        <v>5</v>
      </c>
      <c r="C26" s="3">
        <v>30</v>
      </c>
      <c r="D26" s="12">
        <v>71</v>
      </c>
      <c r="E26" s="84">
        <v>3</v>
      </c>
    </row>
    <row r="27" spans="1:7" s="33" customFormat="1" ht="12.2" customHeight="1">
      <c r="A27" s="34">
        <v>7</v>
      </c>
      <c r="B27" s="2" t="s">
        <v>6</v>
      </c>
      <c r="C27" s="3">
        <v>30</v>
      </c>
      <c r="D27" s="12">
        <v>61.2</v>
      </c>
      <c r="E27" s="84">
        <f>3*30/20</f>
        <v>4.5</v>
      </c>
    </row>
    <row r="28" spans="1:7" s="38" customFormat="1" ht="21.6" customHeight="1" thickBot="1">
      <c r="A28" s="42"/>
      <c r="B28" s="17" t="s">
        <v>7</v>
      </c>
      <c r="C28" s="10">
        <f>SUM(C21:C27)</f>
        <v>785</v>
      </c>
      <c r="D28" s="19">
        <f>SUM(D21:D27)</f>
        <v>767.43999999999994</v>
      </c>
      <c r="E28" s="81">
        <f>E21+E22+E23+E24+E25+E26+E27</f>
        <v>101</v>
      </c>
      <c r="G28" s="78">
        <v>115.62</v>
      </c>
    </row>
    <row r="29" spans="1:7" s="38" customFormat="1" ht="21.6" customHeight="1">
      <c r="A29" s="43"/>
      <c r="B29" s="40"/>
      <c r="C29" s="41"/>
      <c r="D29" s="47"/>
      <c r="E29" s="64"/>
    </row>
    <row r="30" spans="1:7" s="33" customFormat="1" ht="28.35" customHeight="1">
      <c r="B30" s="126" t="s">
        <v>80</v>
      </c>
      <c r="C30" s="126"/>
      <c r="D30" s="126"/>
      <c r="E30" s="50"/>
    </row>
    <row r="31" spans="1:7" s="33" customFormat="1" ht="13.35" customHeight="1">
      <c r="A31" s="130" t="s">
        <v>16</v>
      </c>
      <c r="B31" s="127" t="s">
        <v>0</v>
      </c>
      <c r="C31" s="120" t="s">
        <v>1</v>
      </c>
      <c r="D31" s="128" t="s">
        <v>2</v>
      </c>
      <c r="E31" s="120" t="s">
        <v>77</v>
      </c>
    </row>
    <row r="32" spans="1:7" s="33" customFormat="1" ht="26.65" customHeight="1">
      <c r="A32" s="131"/>
      <c r="B32" s="127"/>
      <c r="C32" s="120"/>
      <c r="D32" s="128"/>
      <c r="E32" s="120"/>
    </row>
    <row r="33" spans="1:6" s="33" customFormat="1" ht="12.2" customHeight="1">
      <c r="A33" s="34">
        <v>1</v>
      </c>
      <c r="B33" s="2" t="s">
        <v>12</v>
      </c>
      <c r="C33" s="3">
        <v>150</v>
      </c>
      <c r="D33" s="12">
        <f>226*150/145</f>
        <v>233.79310344827587</v>
      </c>
      <c r="E33" s="35">
        <f>49.72-12</f>
        <v>37.72</v>
      </c>
    </row>
    <row r="34" spans="1:6" s="33" customFormat="1" ht="12.2" customHeight="1">
      <c r="A34" s="34">
        <v>2</v>
      </c>
      <c r="B34" s="5" t="s">
        <v>83</v>
      </c>
      <c r="C34" s="6">
        <v>180</v>
      </c>
      <c r="D34" s="18">
        <f>106*180/200</f>
        <v>95.4</v>
      </c>
      <c r="E34" s="35">
        <v>10</v>
      </c>
    </row>
    <row r="35" spans="1:6" s="33" customFormat="1" ht="12.2" customHeight="1">
      <c r="A35" s="44">
        <v>3</v>
      </c>
      <c r="B35" s="2" t="s">
        <v>5</v>
      </c>
      <c r="C35" s="3">
        <v>20</v>
      </c>
      <c r="D35" s="12">
        <f>71*20/30</f>
        <v>47.333333333333336</v>
      </c>
      <c r="E35" s="35">
        <v>2</v>
      </c>
    </row>
    <row r="36" spans="1:6" s="38" customFormat="1" ht="21.6" customHeight="1">
      <c r="A36" s="42"/>
      <c r="B36" s="17" t="s">
        <v>7</v>
      </c>
      <c r="C36" s="16">
        <v>350</v>
      </c>
      <c r="D36" s="19">
        <f t="shared" ref="D36" si="2">SUM(D33:D35)</f>
        <v>376.52643678160922</v>
      </c>
      <c r="E36" s="86">
        <f t="shared" ref="E36" si="3">SUM(E33:E35)</f>
        <v>49.72</v>
      </c>
    </row>
    <row r="37" spans="1:6" s="38" customFormat="1" ht="21.6" customHeight="1">
      <c r="A37" s="43"/>
      <c r="B37" s="40"/>
      <c r="C37" s="46"/>
      <c r="D37" s="47"/>
      <c r="E37" s="51"/>
    </row>
    <row r="38" spans="1:6" s="38" customFormat="1" ht="21.6" customHeight="1">
      <c r="A38" s="43" t="s">
        <v>74</v>
      </c>
      <c r="B38" s="40"/>
      <c r="C38" s="46"/>
      <c r="D38" s="47"/>
      <c r="E38" s="51"/>
    </row>
    <row r="39" spans="1:6" s="33" customFormat="1" ht="21.6" customHeight="1">
      <c r="A39" s="129" t="s">
        <v>84</v>
      </c>
      <c r="B39" s="124"/>
      <c r="C39" s="124"/>
      <c r="D39" s="124"/>
      <c r="E39" s="124"/>
      <c r="F39" s="39"/>
    </row>
    <row r="40" spans="1:6">
      <c r="A40" s="93" t="s">
        <v>85</v>
      </c>
      <c r="D40" s="27"/>
      <c r="E40" s="92"/>
      <c r="F40" s="63"/>
    </row>
  </sheetData>
  <mergeCells count="23">
    <mergeCell ref="A7:A8"/>
    <mergeCell ref="B18:D18"/>
    <mergeCell ref="B30:D30"/>
    <mergeCell ref="A19:A20"/>
    <mergeCell ref="B19:B20"/>
    <mergeCell ref="C19:C20"/>
    <mergeCell ref="D19:D20"/>
    <mergeCell ref="A39:E39"/>
    <mergeCell ref="A31:A32"/>
    <mergeCell ref="B31:B32"/>
    <mergeCell ref="C31:C32"/>
    <mergeCell ref="D31:D32"/>
    <mergeCell ref="E7:E8"/>
    <mergeCell ref="E19:E20"/>
    <mergeCell ref="E31:E32"/>
    <mergeCell ref="D1:E1"/>
    <mergeCell ref="C2:E2"/>
    <mergeCell ref="C3:E3"/>
    <mergeCell ref="C4:E4"/>
    <mergeCell ref="B6:D6"/>
    <mergeCell ref="B7:B8"/>
    <mergeCell ref="C7:C8"/>
    <mergeCell ref="D7:D8"/>
  </mergeCells>
  <pageMargins left="0.70866141732283472" right="0.70866141732283472" top="0.3937007874015748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22" workbookViewId="0">
      <selection activeCell="F26" sqref="F26"/>
    </sheetView>
  </sheetViews>
  <sheetFormatPr defaultRowHeight="15"/>
  <cols>
    <col min="1" max="1" width="5.7109375" customWidth="1"/>
    <col min="2" max="2" width="43" customWidth="1"/>
    <col min="3" max="3" width="16" customWidth="1"/>
    <col min="4" max="4" width="20.5703125" style="95" customWidth="1"/>
    <col min="5" max="5" width="15.140625" customWidth="1"/>
  </cols>
  <sheetData>
    <row r="1" spans="1:5">
      <c r="A1" t="str">
        <f>'1 Д 1 Н'!A1</f>
        <v>Утверждаю</v>
      </c>
      <c r="D1" s="95" t="str">
        <f>'5Д 1Н'!D1</f>
        <v>Согласовано</v>
      </c>
    </row>
    <row r="2" spans="1:5">
      <c r="A2" t="str">
        <f>'1 Д 1 Н'!A2</f>
        <v>Директор ООО "ВитаЛайн"</v>
      </c>
      <c r="D2" s="95" t="str">
        <f>'5Д 1Н'!D2</f>
        <v>Директор МБОУ _____________</v>
      </c>
    </row>
    <row r="3" spans="1:5">
      <c r="A3" t="str">
        <f>'1 Д 1 Н'!A3</f>
        <v>_____________Н.Н.Клоков</v>
      </c>
      <c r="D3" s="95" t="str">
        <f>'5Д 1Н'!D3</f>
        <v>______________/______________/</v>
      </c>
    </row>
    <row r="4" spans="1:5">
      <c r="A4" t="str">
        <f>'1 Д 1 Н'!A4</f>
        <v>"___"______________2023 г</v>
      </c>
      <c r="D4" s="95" t="str">
        <f>'5Д 1Н'!D4</f>
        <v>"_____"__________________2023 г.</v>
      </c>
    </row>
    <row r="8" spans="1:5" s="33" customFormat="1" ht="28.35" customHeight="1">
      <c r="B8" s="126" t="s">
        <v>78</v>
      </c>
      <c r="C8" s="126"/>
      <c r="D8" s="126"/>
      <c r="E8" s="50"/>
    </row>
    <row r="9" spans="1:5">
      <c r="A9" s="151" t="s">
        <v>28</v>
      </c>
      <c r="B9" s="148" t="s">
        <v>0</v>
      </c>
      <c r="C9" s="148" t="s">
        <v>1</v>
      </c>
      <c r="D9" s="148" t="s">
        <v>2</v>
      </c>
      <c r="E9" s="145" t="s">
        <v>77</v>
      </c>
    </row>
    <row r="10" spans="1:5" ht="15.75" thickBot="1">
      <c r="A10" s="155"/>
      <c r="B10" s="148"/>
      <c r="C10" s="148"/>
      <c r="D10" s="148"/>
      <c r="E10" s="145"/>
    </row>
    <row r="11" spans="1:5">
      <c r="A11" s="8">
        <v>1</v>
      </c>
      <c r="B11" s="2" t="s">
        <v>41</v>
      </c>
      <c r="C11" s="3">
        <v>60</v>
      </c>
      <c r="D11" s="12">
        <f>1340*0.06</f>
        <v>80.399999999999991</v>
      </c>
      <c r="E11" s="69">
        <v>10</v>
      </c>
    </row>
    <row r="12" spans="1:5">
      <c r="A12" s="8">
        <v>2</v>
      </c>
      <c r="B12" s="2" t="s">
        <v>102</v>
      </c>
      <c r="C12" s="3">
        <v>160</v>
      </c>
      <c r="D12" s="12">
        <f>654*0.16</f>
        <v>104.64</v>
      </c>
      <c r="E12" s="70">
        <v>35</v>
      </c>
    </row>
    <row r="13" spans="1:5">
      <c r="A13" s="8">
        <v>3</v>
      </c>
      <c r="B13" s="2" t="s">
        <v>103</v>
      </c>
      <c r="C13" s="3">
        <v>45</v>
      </c>
      <c r="D13" s="12">
        <f>138*45/40</f>
        <v>155.25</v>
      </c>
      <c r="E13" s="70">
        <v>20</v>
      </c>
    </row>
    <row r="14" spans="1:5">
      <c r="A14" s="8">
        <v>4</v>
      </c>
      <c r="B14" s="2" t="s">
        <v>30</v>
      </c>
      <c r="C14" s="3">
        <v>200</v>
      </c>
      <c r="D14" s="12">
        <v>83.4</v>
      </c>
      <c r="E14" s="70">
        <v>10</v>
      </c>
    </row>
    <row r="15" spans="1:5">
      <c r="A15" s="8">
        <v>6</v>
      </c>
      <c r="B15" s="2" t="s">
        <v>5</v>
      </c>
      <c r="C15" s="3">
        <v>20</v>
      </c>
      <c r="D15" s="12">
        <v>47.4</v>
      </c>
      <c r="E15" s="70">
        <v>2</v>
      </c>
    </row>
    <row r="16" spans="1:5">
      <c r="A16" s="8">
        <v>7</v>
      </c>
      <c r="B16" s="2" t="s">
        <v>6</v>
      </c>
      <c r="C16" s="3">
        <v>20</v>
      </c>
      <c r="D16" s="12">
        <v>40.799999999999997</v>
      </c>
      <c r="E16" s="70">
        <v>3</v>
      </c>
    </row>
    <row r="17" spans="1:5" s="23" customFormat="1" ht="15.75" thickBot="1">
      <c r="A17" s="9"/>
      <c r="B17" s="17" t="s">
        <v>7</v>
      </c>
      <c r="C17" s="10">
        <f>SUM(C11:C16)</f>
        <v>505</v>
      </c>
      <c r="D17" s="19">
        <f t="shared" ref="D17" si="0">SUM(D11:D16)</f>
        <v>511.88999999999993</v>
      </c>
      <c r="E17" s="81">
        <f>SUM(E11:E16)</f>
        <v>80</v>
      </c>
    </row>
    <row r="18" spans="1:5">
      <c r="A18" s="1"/>
      <c r="B18" s="25"/>
      <c r="C18" s="26"/>
      <c r="D18" s="102"/>
    </row>
    <row r="19" spans="1:5">
      <c r="A19" s="1"/>
      <c r="B19" s="25"/>
      <c r="C19" s="26"/>
      <c r="D19" s="102"/>
    </row>
    <row r="20" spans="1:5" s="33" customFormat="1" ht="28.35" customHeight="1">
      <c r="B20" s="126" t="s">
        <v>79</v>
      </c>
      <c r="C20" s="126"/>
      <c r="D20" s="126"/>
      <c r="E20" s="50"/>
    </row>
    <row r="21" spans="1:5">
      <c r="A21" s="149" t="s">
        <v>28</v>
      </c>
      <c r="B21" s="150" t="s">
        <v>0</v>
      </c>
      <c r="C21" s="148" t="s">
        <v>1</v>
      </c>
      <c r="D21" s="148" t="s">
        <v>2</v>
      </c>
      <c r="E21" s="145" t="s">
        <v>77</v>
      </c>
    </row>
    <row r="22" spans="1:5" ht="15.75" thickBot="1">
      <c r="A22" s="154"/>
      <c r="B22" s="150"/>
      <c r="C22" s="148"/>
      <c r="D22" s="148"/>
      <c r="E22" s="145"/>
    </row>
    <row r="23" spans="1:5">
      <c r="A23" s="24">
        <v>1</v>
      </c>
      <c r="B23" s="2" t="s">
        <v>8</v>
      </c>
      <c r="C23" s="3">
        <v>60</v>
      </c>
      <c r="D23" s="12">
        <f>1338*0.06</f>
        <v>80.28</v>
      </c>
      <c r="E23" s="69">
        <v>10</v>
      </c>
    </row>
    <row r="24" spans="1:5">
      <c r="A24" s="8">
        <v>2</v>
      </c>
      <c r="B24" s="2" t="s">
        <v>9</v>
      </c>
      <c r="C24" s="3">
        <v>200</v>
      </c>
      <c r="D24" s="12">
        <f>415*0.2</f>
        <v>83</v>
      </c>
      <c r="E24" s="70">
        <v>20</v>
      </c>
    </row>
    <row r="25" spans="1:5">
      <c r="A25" s="8">
        <v>3</v>
      </c>
      <c r="B25" s="2" t="s">
        <v>44</v>
      </c>
      <c r="C25" s="3">
        <v>150</v>
      </c>
      <c r="D25" s="12">
        <f>915*0.15</f>
        <v>137.25</v>
      </c>
      <c r="E25" s="70">
        <v>20</v>
      </c>
    </row>
    <row r="26" spans="1:5">
      <c r="A26" s="8">
        <v>4</v>
      </c>
      <c r="B26" s="2" t="s">
        <v>67</v>
      </c>
      <c r="C26" s="3">
        <v>100</v>
      </c>
      <c r="D26" s="12">
        <v>185</v>
      </c>
      <c r="E26" s="70">
        <v>34.700000000000003</v>
      </c>
    </row>
    <row r="27" spans="1:5">
      <c r="A27" s="8">
        <v>5</v>
      </c>
      <c r="B27" s="2" t="s">
        <v>68</v>
      </c>
      <c r="C27" s="3">
        <v>180</v>
      </c>
      <c r="D27" s="12">
        <f>154.6*180/200</f>
        <v>139.13999999999999</v>
      </c>
      <c r="E27" s="70">
        <v>10</v>
      </c>
    </row>
    <row r="28" spans="1:5">
      <c r="A28" s="8">
        <v>6</v>
      </c>
      <c r="B28" s="2" t="s">
        <v>82</v>
      </c>
      <c r="C28" s="3">
        <v>100</v>
      </c>
      <c r="D28" s="12">
        <v>56.4</v>
      </c>
      <c r="E28" s="70">
        <v>10</v>
      </c>
    </row>
    <row r="29" spans="1:5">
      <c r="A29" s="8">
        <v>7</v>
      </c>
      <c r="B29" s="2" t="s">
        <v>5</v>
      </c>
      <c r="C29" s="3">
        <v>50</v>
      </c>
      <c r="D29" s="12">
        <v>118.4</v>
      </c>
      <c r="E29" s="70">
        <v>5</v>
      </c>
    </row>
    <row r="30" spans="1:5">
      <c r="A30" s="9">
        <v>8</v>
      </c>
      <c r="B30" s="2" t="s">
        <v>6</v>
      </c>
      <c r="C30" s="3">
        <v>30</v>
      </c>
      <c r="D30" s="12">
        <v>61.2</v>
      </c>
      <c r="E30" s="70">
        <v>4.5</v>
      </c>
    </row>
    <row r="31" spans="1:5" s="23" customFormat="1" ht="15.75" thickBot="1">
      <c r="A31" s="15"/>
      <c r="B31" s="17" t="s">
        <v>7</v>
      </c>
      <c r="C31" s="10">
        <f>SUM(C23:C30)</f>
        <v>870</v>
      </c>
      <c r="D31" s="19">
        <f t="shared" ref="D31" si="1">SUM(D23:D30)</f>
        <v>860.67</v>
      </c>
      <c r="E31" s="81">
        <f>SUM(E23:E30)</f>
        <v>114.2</v>
      </c>
    </row>
    <row r="32" spans="1:5" s="23" customFormat="1">
      <c r="A32" s="11"/>
      <c r="B32" s="13"/>
      <c r="C32" s="14"/>
      <c r="D32" s="22"/>
    </row>
    <row r="33" spans="1:6" s="33" customFormat="1" ht="28.35" customHeight="1">
      <c r="B33" s="126" t="s">
        <v>80</v>
      </c>
      <c r="C33" s="126"/>
      <c r="D33" s="126"/>
      <c r="E33" s="50"/>
    </row>
    <row r="34" spans="1:6">
      <c r="A34" s="147" t="s">
        <v>28</v>
      </c>
      <c r="B34" s="148" t="s">
        <v>0</v>
      </c>
      <c r="C34" s="148" t="s">
        <v>1</v>
      </c>
      <c r="D34" s="148" t="s">
        <v>2</v>
      </c>
      <c r="E34" s="145" t="s">
        <v>77</v>
      </c>
    </row>
    <row r="35" spans="1:6">
      <c r="A35" s="153"/>
      <c r="B35" s="148"/>
      <c r="C35" s="148"/>
      <c r="D35" s="148"/>
      <c r="E35" s="145"/>
    </row>
    <row r="36" spans="1:6">
      <c r="A36" s="28">
        <v>1</v>
      </c>
      <c r="B36" s="2" t="s">
        <v>69</v>
      </c>
      <c r="C36" s="3">
        <v>150</v>
      </c>
      <c r="D36" s="12">
        <v>271.3</v>
      </c>
      <c r="E36" s="75">
        <v>37.72</v>
      </c>
    </row>
    <row r="37" spans="1:6">
      <c r="A37" s="8">
        <v>2</v>
      </c>
      <c r="B37" s="2" t="s">
        <v>5</v>
      </c>
      <c r="C37" s="3">
        <v>20</v>
      </c>
      <c r="D37" s="12">
        <v>47.4</v>
      </c>
      <c r="E37" s="75">
        <v>2</v>
      </c>
    </row>
    <row r="38" spans="1:6">
      <c r="A38" s="8">
        <v>3</v>
      </c>
      <c r="B38" s="5" t="s">
        <v>48</v>
      </c>
      <c r="C38" s="6">
        <v>180</v>
      </c>
      <c r="D38" s="18">
        <f>503*0.18</f>
        <v>90.539999999999992</v>
      </c>
      <c r="E38" s="75">
        <v>10</v>
      </c>
    </row>
    <row r="39" spans="1:6" s="23" customFormat="1">
      <c r="A39" s="9"/>
      <c r="B39" s="17" t="s">
        <v>7</v>
      </c>
      <c r="C39" s="16">
        <v>350</v>
      </c>
      <c r="D39" s="19">
        <f t="shared" ref="D39" si="2">SUM(D36:D38)</f>
        <v>409.24</v>
      </c>
      <c r="E39" s="76">
        <v>49.72</v>
      </c>
    </row>
    <row r="41" spans="1:6">
      <c r="A41" s="20" t="str">
        <f>'1 Д 1 Н'!A38</f>
        <v xml:space="preserve">    Заведующий производством  _______________/  ______________/                              /</v>
      </c>
      <c r="B41" s="13"/>
      <c r="C41" s="21"/>
      <c r="D41" s="22"/>
    </row>
    <row r="42" spans="1:6" s="33" customFormat="1" ht="21.6" customHeight="1">
      <c r="A42" s="129" t="s">
        <v>84</v>
      </c>
      <c r="B42" s="124"/>
      <c r="C42" s="124"/>
      <c r="D42" s="124"/>
      <c r="E42" s="124"/>
      <c r="F42" s="39"/>
    </row>
    <row r="43" spans="1:6" s="27" customFormat="1">
      <c r="A43" s="93" t="s">
        <v>85</v>
      </c>
      <c r="D43" s="100"/>
      <c r="E43" s="92"/>
      <c r="F43" s="63"/>
    </row>
  </sheetData>
  <mergeCells count="19">
    <mergeCell ref="B8:D8"/>
    <mergeCell ref="A9:A10"/>
    <mergeCell ref="B9:B10"/>
    <mergeCell ref="C9:C10"/>
    <mergeCell ref="D9:D10"/>
    <mergeCell ref="A42:E42"/>
    <mergeCell ref="E9:E10"/>
    <mergeCell ref="E21:E22"/>
    <mergeCell ref="E34:E35"/>
    <mergeCell ref="A34:A35"/>
    <mergeCell ref="B34:B35"/>
    <mergeCell ref="C34:C35"/>
    <mergeCell ref="D34:D35"/>
    <mergeCell ref="B20:D20"/>
    <mergeCell ref="A21:A22"/>
    <mergeCell ref="B21:B22"/>
    <mergeCell ref="C21:C22"/>
    <mergeCell ref="D21:D22"/>
    <mergeCell ref="B33:D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3"/>
  <sheetViews>
    <sheetView topLeftCell="A245" workbookViewId="0">
      <selection activeCell="A246" sqref="A246:G262"/>
    </sheetView>
  </sheetViews>
  <sheetFormatPr defaultColWidth="8.85546875" defaultRowHeight="15"/>
  <cols>
    <col min="1" max="1" width="7.28515625" style="117" customWidth="1"/>
    <col min="2" max="2" width="48.7109375" style="117" customWidth="1"/>
    <col min="3" max="3" width="10" style="117" customWidth="1"/>
    <col min="4" max="4" width="9.140625" style="116" customWidth="1"/>
    <col min="5" max="5" width="5.85546875" style="116" customWidth="1"/>
    <col min="6" max="6" width="7.140625" style="116" customWidth="1"/>
    <col min="7" max="7" width="6.28515625" style="116" customWidth="1"/>
    <col min="8" max="16384" width="8.85546875" style="101"/>
  </cols>
  <sheetData>
    <row r="1" spans="1:7" ht="76.5">
      <c r="A1" s="101"/>
      <c r="B1" s="114" t="s">
        <v>104</v>
      </c>
      <c r="C1" s="114"/>
      <c r="D1" s="114"/>
      <c r="E1" s="114"/>
    </row>
    <row r="2" spans="1:7">
      <c r="A2" s="101"/>
    </row>
    <row r="3" spans="1:7">
      <c r="A3" s="101"/>
      <c r="B3" s="101"/>
      <c r="C3" s="101"/>
      <c r="D3" s="101"/>
      <c r="E3" s="101"/>
      <c r="F3" s="101"/>
      <c r="G3" s="101"/>
    </row>
    <row r="4" spans="1:7">
      <c r="A4" s="101"/>
      <c r="B4" s="101"/>
      <c r="C4" s="101"/>
      <c r="D4" s="101"/>
      <c r="E4" s="101"/>
      <c r="F4" s="101"/>
      <c r="G4" s="101"/>
    </row>
    <row r="5" spans="1:7" ht="14.45" customHeight="1">
      <c r="A5" s="4" t="s">
        <v>122</v>
      </c>
      <c r="B5" s="4" t="s">
        <v>0</v>
      </c>
      <c r="C5" s="4" t="s">
        <v>1</v>
      </c>
      <c r="D5" s="12" t="s">
        <v>2</v>
      </c>
      <c r="E5" s="12" t="s">
        <v>105</v>
      </c>
      <c r="F5" s="12"/>
      <c r="G5" s="12"/>
    </row>
    <row r="6" spans="1:7" ht="25.5">
      <c r="A6" s="4"/>
      <c r="B6" s="4"/>
      <c r="C6" s="4"/>
      <c r="D6" s="12"/>
      <c r="E6" s="12" t="s">
        <v>106</v>
      </c>
      <c r="F6" s="12" t="s">
        <v>107</v>
      </c>
      <c r="G6" s="12" t="s">
        <v>108</v>
      </c>
    </row>
    <row r="7" spans="1:7">
      <c r="A7" s="101"/>
      <c r="B7" s="101"/>
      <c r="C7" s="101"/>
      <c r="D7" s="101"/>
      <c r="E7" s="101"/>
      <c r="F7" s="101"/>
      <c r="G7" s="101"/>
    </row>
    <row r="8" spans="1:7">
      <c r="A8" s="4">
        <v>175</v>
      </c>
      <c r="B8" s="2" t="s">
        <v>81</v>
      </c>
      <c r="C8" s="3">
        <v>150</v>
      </c>
      <c r="D8" s="87">
        <f>260*160/210</f>
        <v>198.0952380952381</v>
      </c>
      <c r="E8" s="87">
        <f>6.08*160/210</f>
        <v>4.6323809523809523</v>
      </c>
      <c r="F8" s="87">
        <f>11.18*160/210</f>
        <v>8.5180952380952384</v>
      </c>
      <c r="G8" s="87">
        <f>33.48*160/210</f>
        <v>25.508571428571425</v>
      </c>
    </row>
    <row r="9" spans="1:7">
      <c r="A9" s="4" t="s">
        <v>123</v>
      </c>
      <c r="B9" s="2" t="s">
        <v>3</v>
      </c>
      <c r="C9" s="3">
        <v>20</v>
      </c>
      <c r="D9" s="87">
        <f>108*20/30</f>
        <v>72</v>
      </c>
      <c r="E9" s="87">
        <f>6.96*20/30</f>
        <v>4.6399999999999997</v>
      </c>
      <c r="F9" s="87">
        <f>8.85*20/30</f>
        <v>5.9</v>
      </c>
      <c r="G9" s="87">
        <v>0</v>
      </c>
    </row>
    <row r="10" spans="1:7">
      <c r="A10" s="4" t="s">
        <v>124</v>
      </c>
      <c r="B10" s="2" t="s">
        <v>4</v>
      </c>
      <c r="C10" s="4">
        <v>180</v>
      </c>
      <c r="D10" s="87">
        <f>81*180/200</f>
        <v>72.900000000000006</v>
      </c>
      <c r="E10" s="87">
        <f>1.52*180/200</f>
        <v>1.3680000000000001</v>
      </c>
      <c r="F10" s="87">
        <f>1.35*180/200</f>
        <v>1.2150000000000001</v>
      </c>
      <c r="G10" s="87">
        <f>15.9*180/200</f>
        <v>14.31</v>
      </c>
    </row>
    <row r="11" spans="1:7">
      <c r="A11" s="4" t="s">
        <v>125</v>
      </c>
      <c r="B11" s="2" t="s">
        <v>82</v>
      </c>
      <c r="C11" s="3">
        <v>100</v>
      </c>
      <c r="D11" s="87">
        <v>56.4</v>
      </c>
      <c r="E11" s="87">
        <v>0.5</v>
      </c>
      <c r="F11" s="87">
        <v>0.5</v>
      </c>
      <c r="G11" s="87">
        <v>11.8</v>
      </c>
    </row>
    <row r="12" spans="1:7">
      <c r="A12" s="4"/>
      <c r="B12" s="2" t="s">
        <v>5</v>
      </c>
      <c r="C12" s="3">
        <v>30</v>
      </c>
      <c r="D12" s="87">
        <v>142.1</v>
      </c>
      <c r="E12" s="87">
        <v>4.5999999999999996</v>
      </c>
      <c r="F12" s="87">
        <v>0.4</v>
      </c>
      <c r="G12" s="87">
        <v>30.1</v>
      </c>
    </row>
    <row r="13" spans="1:7">
      <c r="A13" s="4"/>
      <c r="B13" s="2" t="s">
        <v>6</v>
      </c>
      <c r="C13" s="3">
        <v>20</v>
      </c>
      <c r="D13" s="87">
        <v>46</v>
      </c>
      <c r="E13" s="87">
        <v>1.1000000000000001</v>
      </c>
      <c r="F13" s="87">
        <v>0.2</v>
      </c>
      <c r="G13" s="87">
        <v>9.9</v>
      </c>
    </row>
    <row r="14" spans="1:7">
      <c r="A14" s="113"/>
      <c r="B14" s="88" t="s">
        <v>7</v>
      </c>
      <c r="C14" s="89">
        <f>SUM(C8:C13)</f>
        <v>500</v>
      </c>
      <c r="D14" s="104">
        <f t="shared" ref="D14" si="0">SUM(D8:D13)</f>
        <v>587.49523809523805</v>
      </c>
      <c r="E14" s="104">
        <f t="shared" ref="E14:G14" si="1">SUM(E8:E13)</f>
        <v>16.840380952380954</v>
      </c>
      <c r="F14" s="104">
        <f t="shared" si="1"/>
        <v>16.733095238095235</v>
      </c>
      <c r="G14" s="104">
        <f t="shared" si="1"/>
        <v>91.618571428571443</v>
      </c>
    </row>
    <row r="15" spans="1:7">
      <c r="A15" s="101"/>
      <c r="B15" s="101"/>
      <c r="C15" s="101"/>
      <c r="D15" s="101"/>
      <c r="E15" s="101"/>
      <c r="F15" s="101"/>
      <c r="G15" s="101"/>
    </row>
    <row r="16" spans="1:7">
      <c r="A16" s="4" t="s">
        <v>126</v>
      </c>
      <c r="B16" s="2" t="s">
        <v>8</v>
      </c>
      <c r="C16" s="3">
        <v>60</v>
      </c>
      <c r="D16" s="87">
        <f>1338*0.06</f>
        <v>80.28</v>
      </c>
      <c r="E16" s="87">
        <f>27.31*0.06</f>
        <v>1.6385999999999998</v>
      </c>
      <c r="F16" s="87">
        <f>1.87*0.06</f>
        <v>0.11220000000000001</v>
      </c>
      <c r="G16" s="87">
        <f>145.45*0.06</f>
        <v>8.7269999999999985</v>
      </c>
    </row>
    <row r="17" spans="1:7">
      <c r="A17" s="4" t="s">
        <v>127</v>
      </c>
      <c r="B17" s="2" t="s">
        <v>9</v>
      </c>
      <c r="C17" s="3">
        <v>200</v>
      </c>
      <c r="D17" s="87">
        <f>415*0.2</f>
        <v>83</v>
      </c>
      <c r="E17" s="87">
        <f>7.21*0.2</f>
        <v>1.4420000000000002</v>
      </c>
      <c r="F17" s="87">
        <f>19.68*0.2</f>
        <v>3.9359999999999999</v>
      </c>
      <c r="G17" s="87">
        <f>43.73*0.2</f>
        <v>8.7460000000000004</v>
      </c>
    </row>
    <row r="18" spans="1:7">
      <c r="A18" s="4">
        <v>171</v>
      </c>
      <c r="B18" s="2" t="s">
        <v>10</v>
      </c>
      <c r="C18" s="3">
        <v>150</v>
      </c>
      <c r="D18" s="87">
        <f>220*150/160</f>
        <v>206.25</v>
      </c>
      <c r="E18" s="87">
        <f>4.64*150/150</f>
        <v>4.6399999999999997</v>
      </c>
      <c r="F18" s="87">
        <f>7.79*150/160</f>
        <v>7.3031249999999996</v>
      </c>
      <c r="G18" s="87">
        <f>32.91*150/160</f>
        <v>30.853124999999995</v>
      </c>
    </row>
    <row r="19" spans="1:7">
      <c r="A19" s="4" t="s">
        <v>128</v>
      </c>
      <c r="B19" s="2" t="s">
        <v>109</v>
      </c>
      <c r="C19" s="4">
        <v>115</v>
      </c>
      <c r="D19" s="87">
        <v>165.31</v>
      </c>
      <c r="E19" s="87">
        <v>9.4700000000000006</v>
      </c>
      <c r="F19" s="87">
        <v>8.1</v>
      </c>
      <c r="G19" s="87">
        <v>13.49</v>
      </c>
    </row>
    <row r="20" spans="1:7">
      <c r="A20" s="4" t="s">
        <v>129</v>
      </c>
      <c r="B20" s="2" t="s">
        <v>11</v>
      </c>
      <c r="C20" s="3">
        <v>200</v>
      </c>
      <c r="D20" s="87">
        <v>100.4</v>
      </c>
      <c r="E20" s="87">
        <v>1.4</v>
      </c>
      <c r="F20" s="87">
        <v>0.4</v>
      </c>
      <c r="G20" s="87">
        <v>22.8</v>
      </c>
    </row>
    <row r="21" spans="1:7">
      <c r="A21" s="4"/>
      <c r="B21" s="2" t="s">
        <v>5</v>
      </c>
      <c r="C21" s="3">
        <v>30</v>
      </c>
      <c r="D21" s="87">
        <v>71</v>
      </c>
      <c r="E21" s="87">
        <v>2.2999999999999998</v>
      </c>
      <c r="F21" s="87">
        <v>0.2</v>
      </c>
      <c r="G21" s="87">
        <v>15.1</v>
      </c>
    </row>
    <row r="22" spans="1:7">
      <c r="A22" s="4"/>
      <c r="B22" s="2" t="s">
        <v>6</v>
      </c>
      <c r="C22" s="3">
        <v>30</v>
      </c>
      <c r="D22" s="87">
        <v>61.2</v>
      </c>
      <c r="E22" s="87">
        <v>2</v>
      </c>
      <c r="F22" s="87">
        <v>0.3</v>
      </c>
      <c r="G22" s="87">
        <v>12.7</v>
      </c>
    </row>
    <row r="23" spans="1:7">
      <c r="A23" s="113"/>
      <c r="B23" s="17" t="s">
        <v>7</v>
      </c>
      <c r="C23" s="10">
        <f>SUM(C16:C22)</f>
        <v>785</v>
      </c>
      <c r="D23" s="104">
        <f>SUM(D16:D22)</f>
        <v>767.43999999999994</v>
      </c>
      <c r="E23" s="104">
        <f>SUM(E16:E22)</f>
        <v>22.890599999999999</v>
      </c>
      <c r="F23" s="104">
        <f>SUM(F16:F22)</f>
        <v>20.351324999999996</v>
      </c>
      <c r="G23" s="104">
        <f>SUM(G16:G22)</f>
        <v>112.41612499999999</v>
      </c>
    </row>
    <row r="24" spans="1:7">
      <c r="A24" s="101"/>
      <c r="B24" s="101"/>
      <c r="C24" s="101"/>
      <c r="D24" s="101"/>
      <c r="E24" s="101"/>
      <c r="F24" s="101"/>
      <c r="G24" s="101"/>
    </row>
    <row r="25" spans="1:7" ht="14.45" customHeight="1">
      <c r="A25" s="4" t="s">
        <v>130</v>
      </c>
      <c r="B25" s="2" t="s">
        <v>12</v>
      </c>
      <c r="C25" s="3">
        <v>150</v>
      </c>
      <c r="D25" s="87">
        <f>226*150/145</f>
        <v>233.79310344827587</v>
      </c>
      <c r="E25" s="87">
        <f>11.29*150/145</f>
        <v>11.679310344827584</v>
      </c>
      <c r="F25" s="87">
        <f>10.38*150/145</f>
        <v>10.737931034482759</v>
      </c>
      <c r="G25" s="87">
        <f>16.85*150/145</f>
        <v>17.431034482758619</v>
      </c>
    </row>
    <row r="26" spans="1:7">
      <c r="A26" s="4" t="s">
        <v>131</v>
      </c>
      <c r="B26" s="5" t="s">
        <v>83</v>
      </c>
      <c r="C26" s="6">
        <v>180</v>
      </c>
      <c r="D26" s="90">
        <f>106*180/200</f>
        <v>95.4</v>
      </c>
      <c r="E26" s="90">
        <f>5.8*180/200</f>
        <v>5.22</v>
      </c>
      <c r="F26" s="90">
        <f>5*180/200</f>
        <v>4.5</v>
      </c>
      <c r="G26" s="90">
        <f>7.2*180/200</f>
        <v>6.48</v>
      </c>
    </row>
    <row r="27" spans="1:7">
      <c r="A27" s="4"/>
      <c r="B27" s="2" t="s">
        <v>5</v>
      </c>
      <c r="C27" s="3">
        <v>20</v>
      </c>
      <c r="D27" s="87">
        <f>71*20/30</f>
        <v>47.333333333333336</v>
      </c>
      <c r="E27" s="87">
        <f>2.3*20/30</f>
        <v>1.5333333333333334</v>
      </c>
      <c r="F27" s="87">
        <f>0.2*20/30</f>
        <v>0.13333333333333333</v>
      </c>
      <c r="G27" s="87">
        <f>15.1*20/30</f>
        <v>10.066666666666666</v>
      </c>
    </row>
    <row r="28" spans="1:7">
      <c r="A28" s="113"/>
      <c r="B28" s="17" t="s">
        <v>7</v>
      </c>
      <c r="C28" s="16">
        <v>350</v>
      </c>
      <c r="D28" s="104">
        <f t="shared" ref="D28" si="2">SUM(D25:D27)</f>
        <v>376.52643678160922</v>
      </c>
      <c r="E28" s="104">
        <f>SUM(E25:E27)</f>
        <v>18.432643678160918</v>
      </c>
      <c r="F28" s="104">
        <f t="shared" ref="F28:G28" si="3">SUM(F25:F27)</f>
        <v>15.371264367816092</v>
      </c>
      <c r="G28" s="104">
        <f t="shared" si="3"/>
        <v>33.977701149425286</v>
      </c>
    </row>
    <row r="29" spans="1:7">
      <c r="A29" s="113"/>
      <c r="B29" s="17" t="s">
        <v>110</v>
      </c>
      <c r="C29" s="17"/>
      <c r="D29" s="104">
        <f t="shared" ref="D29" si="4">D28+D23+D14</f>
        <v>1731.4616748768472</v>
      </c>
      <c r="E29" s="104">
        <f>E28+E23+E14</f>
        <v>58.163624630541875</v>
      </c>
      <c r="F29" s="104">
        <f t="shared" ref="F29:G29" si="5">F28+F23+F14</f>
        <v>52.455684605911316</v>
      </c>
      <c r="G29" s="104">
        <f t="shared" si="5"/>
        <v>238.01239757799672</v>
      </c>
    </row>
    <row r="30" spans="1:7">
      <c r="A30" s="101"/>
      <c r="B30" s="101"/>
      <c r="C30" s="101"/>
      <c r="D30" s="101"/>
      <c r="E30" s="101"/>
      <c r="F30" s="101"/>
      <c r="G30" s="101"/>
    </row>
    <row r="31" spans="1:7" ht="14.45" customHeight="1">
      <c r="A31" s="4" t="s">
        <v>122</v>
      </c>
      <c r="B31" s="4" t="s">
        <v>0</v>
      </c>
      <c r="C31" s="4" t="s">
        <v>1</v>
      </c>
      <c r="D31" s="12" t="s">
        <v>2</v>
      </c>
      <c r="E31" s="12" t="s">
        <v>105</v>
      </c>
      <c r="F31" s="12"/>
      <c r="G31" s="12"/>
    </row>
    <row r="32" spans="1:7" ht="25.5">
      <c r="A32" s="4"/>
      <c r="B32" s="4"/>
      <c r="C32" s="4"/>
      <c r="D32" s="12"/>
      <c r="E32" s="12" t="s">
        <v>106</v>
      </c>
      <c r="F32" s="12" t="s">
        <v>107</v>
      </c>
      <c r="G32" s="12" t="s">
        <v>108</v>
      </c>
    </row>
    <row r="33" spans="1:7">
      <c r="A33" s="101"/>
      <c r="B33" s="101"/>
      <c r="C33" s="101"/>
      <c r="D33" s="101"/>
      <c r="E33" s="101"/>
      <c r="F33" s="101"/>
      <c r="G33" s="101"/>
    </row>
    <row r="34" spans="1:7">
      <c r="A34" s="4" t="s">
        <v>132</v>
      </c>
      <c r="B34" s="2" t="s">
        <v>52</v>
      </c>
      <c r="C34" s="4">
        <v>60</v>
      </c>
      <c r="D34" s="87">
        <f>591*0.06</f>
        <v>35.46</v>
      </c>
      <c r="E34" s="87">
        <v>0.51</v>
      </c>
      <c r="F34" s="87">
        <f>50.4*0.06</f>
        <v>3.024</v>
      </c>
      <c r="G34" s="87">
        <f>25.76*0.06</f>
        <v>1.5456000000000001</v>
      </c>
    </row>
    <row r="35" spans="1:7">
      <c r="A35" s="4">
        <v>143</v>
      </c>
      <c r="B35" s="2" t="s">
        <v>18</v>
      </c>
      <c r="C35" s="3">
        <v>150</v>
      </c>
      <c r="D35" s="87">
        <f>142*150/105</f>
        <v>202.85714285714286</v>
      </c>
      <c r="E35" s="87">
        <f>1.77*150/105</f>
        <v>2.5285714285714285</v>
      </c>
      <c r="F35" s="87">
        <f>10.99*150/105</f>
        <v>15.7</v>
      </c>
      <c r="G35" s="87">
        <f>8.5*150/105</f>
        <v>12.142857142857142</v>
      </c>
    </row>
    <row r="36" spans="1:7">
      <c r="A36" s="4" t="s">
        <v>133</v>
      </c>
      <c r="B36" s="2" t="s">
        <v>19</v>
      </c>
      <c r="C36" s="4">
        <v>90</v>
      </c>
      <c r="D36" s="87">
        <f>161*90/55</f>
        <v>263.45454545454544</v>
      </c>
      <c r="E36" s="87">
        <f>7.92*90/55</f>
        <v>12.959999999999999</v>
      </c>
      <c r="F36" s="87">
        <f>11.27*90/55</f>
        <v>18.441818181818181</v>
      </c>
      <c r="G36" s="87">
        <f>6.61*90/55</f>
        <v>10.816363636363636</v>
      </c>
    </row>
    <row r="37" spans="1:7">
      <c r="A37" s="4" t="s">
        <v>134</v>
      </c>
      <c r="B37" s="5" t="s">
        <v>20</v>
      </c>
      <c r="C37" s="6">
        <v>180</v>
      </c>
      <c r="D37" s="90">
        <f>503*0.18</f>
        <v>90.539999999999992</v>
      </c>
      <c r="E37" s="90">
        <f>15.83*0.18</f>
        <v>2.8493999999999997</v>
      </c>
      <c r="F37" s="90">
        <f>13.39*0.18</f>
        <v>2.4102000000000001</v>
      </c>
      <c r="G37" s="90">
        <f>79.73*0.18</f>
        <v>14.3514</v>
      </c>
    </row>
    <row r="38" spans="1:7">
      <c r="A38" s="4"/>
      <c r="B38" s="2" t="s">
        <v>5</v>
      </c>
      <c r="C38" s="3">
        <v>20</v>
      </c>
      <c r="D38" s="87">
        <f>118.4*20/50</f>
        <v>47.36</v>
      </c>
      <c r="E38" s="87">
        <f>3.8*20/50</f>
        <v>1.52</v>
      </c>
      <c r="F38" s="87">
        <v>0.1</v>
      </c>
      <c r="G38" s="87">
        <v>10</v>
      </c>
    </row>
    <row r="39" spans="1:7">
      <c r="A39" s="4"/>
      <c r="B39" s="2" t="s">
        <v>6</v>
      </c>
      <c r="C39" s="3">
        <v>20</v>
      </c>
      <c r="D39" s="87">
        <v>40.799999999999997</v>
      </c>
      <c r="E39" s="87">
        <v>1.3</v>
      </c>
      <c r="F39" s="87">
        <v>0.2</v>
      </c>
      <c r="G39" s="87">
        <v>8.5</v>
      </c>
    </row>
    <row r="40" spans="1:7">
      <c r="A40" s="114"/>
      <c r="B40" s="2"/>
      <c r="C40" s="4"/>
      <c r="D40" s="87"/>
      <c r="E40" s="87"/>
      <c r="F40" s="87"/>
      <c r="G40" s="87"/>
    </row>
    <row r="41" spans="1:7">
      <c r="A41" s="113"/>
      <c r="B41" s="17" t="s">
        <v>7</v>
      </c>
      <c r="C41" s="10">
        <f>SUM(C34:C40)</f>
        <v>520</v>
      </c>
      <c r="D41" s="104">
        <f t="shared" ref="D41" si="6">SUM(D34:D40)</f>
        <v>680.47168831168824</v>
      </c>
      <c r="E41" s="104">
        <f t="shared" ref="E41:G41" si="7">SUM(E34:E40)</f>
        <v>21.667971428571427</v>
      </c>
      <c r="F41" s="104">
        <f t="shared" si="7"/>
        <v>39.876018181818189</v>
      </c>
      <c r="G41" s="104">
        <f t="shared" si="7"/>
        <v>57.356220779220777</v>
      </c>
    </row>
    <row r="42" spans="1:7">
      <c r="A42" s="101"/>
      <c r="B42" s="101"/>
      <c r="C42" s="101"/>
      <c r="D42" s="101"/>
      <c r="E42" s="101"/>
      <c r="F42" s="101"/>
      <c r="G42" s="101"/>
    </row>
    <row r="43" spans="1:7">
      <c r="A43" s="4" t="s">
        <v>135</v>
      </c>
      <c r="B43" s="2" t="s">
        <v>21</v>
      </c>
      <c r="C43" s="3">
        <v>60</v>
      </c>
      <c r="D43" s="87">
        <f>1319*0.06</f>
        <v>79.14</v>
      </c>
      <c r="E43" s="87">
        <f>46.71*0.06</f>
        <v>2.8026</v>
      </c>
      <c r="F43" s="87">
        <v>4.63</v>
      </c>
      <c r="G43" s="87">
        <f>71.9*0.06</f>
        <v>4.3140000000000001</v>
      </c>
    </row>
    <row r="44" spans="1:7">
      <c r="A44" s="4">
        <v>119</v>
      </c>
      <c r="B44" s="2" t="s">
        <v>86</v>
      </c>
      <c r="C44" s="3">
        <v>200</v>
      </c>
      <c r="D44" s="87">
        <f>593*0.2</f>
        <v>118.60000000000001</v>
      </c>
      <c r="E44" s="87">
        <v>6.24</v>
      </c>
      <c r="F44" s="87">
        <v>3.22</v>
      </c>
      <c r="G44" s="87">
        <f>66.14*0.2</f>
        <v>13.228000000000002</v>
      </c>
    </row>
    <row r="45" spans="1:7">
      <c r="A45" s="4">
        <v>311</v>
      </c>
      <c r="B45" s="2" t="s">
        <v>22</v>
      </c>
      <c r="C45" s="3">
        <v>150</v>
      </c>
      <c r="D45" s="87">
        <v>126.6</v>
      </c>
      <c r="E45" s="87">
        <f>2.18*150/100</f>
        <v>3.27</v>
      </c>
      <c r="F45" s="87">
        <v>3.72</v>
      </c>
      <c r="G45" s="87">
        <v>19.739999999999998</v>
      </c>
    </row>
    <row r="46" spans="1:7">
      <c r="A46" s="4">
        <v>299</v>
      </c>
      <c r="B46" s="2" t="s">
        <v>23</v>
      </c>
      <c r="C46" s="4">
        <v>90</v>
      </c>
      <c r="D46" s="87">
        <f>143*90/60</f>
        <v>214.5</v>
      </c>
      <c r="E46" s="87">
        <f>7.81*90/60</f>
        <v>11.715</v>
      </c>
      <c r="F46" s="87">
        <v>12.13</v>
      </c>
      <c r="G46" s="87">
        <v>2.16</v>
      </c>
    </row>
    <row r="47" spans="1:7">
      <c r="A47" s="4" t="s">
        <v>129</v>
      </c>
      <c r="B47" s="2" t="s">
        <v>24</v>
      </c>
      <c r="C47" s="3">
        <v>200</v>
      </c>
      <c r="D47" s="87">
        <v>84.8</v>
      </c>
      <c r="E47" s="87">
        <f>5*0.2</f>
        <v>1</v>
      </c>
      <c r="F47" s="87">
        <v>0</v>
      </c>
      <c r="G47" s="87">
        <v>20.38</v>
      </c>
    </row>
    <row r="48" spans="1:7">
      <c r="A48" s="4" t="s">
        <v>136</v>
      </c>
      <c r="B48" s="2" t="s">
        <v>25</v>
      </c>
      <c r="C48" s="3">
        <v>200</v>
      </c>
      <c r="D48" s="87">
        <v>52</v>
      </c>
      <c r="E48" s="87">
        <v>2.8</v>
      </c>
      <c r="F48" s="87">
        <v>2.5</v>
      </c>
      <c r="G48" s="87">
        <v>4.7</v>
      </c>
    </row>
    <row r="49" spans="1:7">
      <c r="A49" s="4"/>
      <c r="B49" s="2" t="s">
        <v>5</v>
      </c>
      <c r="C49" s="3">
        <v>30</v>
      </c>
      <c r="D49" s="87">
        <v>47.4</v>
      </c>
      <c r="E49" s="87">
        <v>1.5</v>
      </c>
      <c r="F49" s="87">
        <v>0.1</v>
      </c>
      <c r="G49" s="87">
        <v>10</v>
      </c>
    </row>
    <row r="50" spans="1:7">
      <c r="A50" s="4"/>
      <c r="B50" s="2" t="s">
        <v>6</v>
      </c>
      <c r="C50" s="3">
        <v>20</v>
      </c>
      <c r="D50" s="87">
        <v>40.799999999999997</v>
      </c>
      <c r="E50" s="87">
        <v>1.3</v>
      </c>
      <c r="F50" s="87">
        <v>0.2</v>
      </c>
      <c r="G50" s="87">
        <v>8.5</v>
      </c>
    </row>
    <row r="51" spans="1:7">
      <c r="A51" s="113"/>
      <c r="B51" s="17" t="s">
        <v>7</v>
      </c>
      <c r="C51" s="10">
        <f>SUM(C43:C50)</f>
        <v>950</v>
      </c>
      <c r="D51" s="104">
        <f t="shared" ref="D51" si="8">SUM(D43:D50)</f>
        <v>763.83999999999992</v>
      </c>
      <c r="E51" s="104">
        <f>SUM(E43:E50)</f>
        <v>30.627600000000001</v>
      </c>
      <c r="F51" s="104">
        <f t="shared" ref="F51:G51" si="9">SUM(F43:F50)</f>
        <v>26.500000000000004</v>
      </c>
      <c r="G51" s="104">
        <f t="shared" si="9"/>
        <v>83.021999999999991</v>
      </c>
    </row>
    <row r="52" spans="1:7">
      <c r="A52" s="101"/>
      <c r="B52" s="101"/>
      <c r="C52" s="101"/>
      <c r="D52" s="101"/>
      <c r="E52" s="101"/>
      <c r="F52" s="101"/>
      <c r="G52" s="101"/>
    </row>
    <row r="53" spans="1:7" ht="14.45" customHeight="1">
      <c r="A53" s="4" t="s">
        <v>137</v>
      </c>
      <c r="B53" s="5" t="s">
        <v>26</v>
      </c>
      <c r="C53" s="6">
        <v>150</v>
      </c>
      <c r="D53" s="90">
        <f>118*150/80</f>
        <v>221.25</v>
      </c>
      <c r="E53" s="90">
        <f>5.88*150/80</f>
        <v>11.025</v>
      </c>
      <c r="F53" s="90">
        <f>4.24*150/80</f>
        <v>7.95</v>
      </c>
      <c r="G53" s="90">
        <f>13.91*150/80</f>
        <v>26.081250000000001</v>
      </c>
    </row>
    <row r="54" spans="1:7">
      <c r="A54" s="4" t="s">
        <v>125</v>
      </c>
      <c r="B54" s="2" t="s">
        <v>82</v>
      </c>
      <c r="C54" s="3">
        <v>120</v>
      </c>
      <c r="D54" s="87">
        <f>56.4*120/100</f>
        <v>67.680000000000007</v>
      </c>
      <c r="E54" s="87">
        <f>0.5*120/100</f>
        <v>0.6</v>
      </c>
      <c r="F54" s="87">
        <f>0.5*120/100</f>
        <v>0.6</v>
      </c>
      <c r="G54" s="87">
        <f>11.8*120/100</f>
        <v>14.16</v>
      </c>
    </row>
    <row r="55" spans="1:7">
      <c r="A55" s="4" t="s">
        <v>138</v>
      </c>
      <c r="B55" s="2" t="s">
        <v>27</v>
      </c>
      <c r="C55" s="3">
        <v>180</v>
      </c>
      <c r="D55" s="87">
        <f>112*0.18</f>
        <v>20.16</v>
      </c>
      <c r="E55" s="87">
        <f>0.8*0.18</f>
        <v>0.14399999999999999</v>
      </c>
      <c r="F55" s="87">
        <f>0.8*0.18</f>
        <v>0.14399999999999999</v>
      </c>
      <c r="G55" s="87">
        <f>139.4*0.18</f>
        <v>25.091999999999999</v>
      </c>
    </row>
    <row r="56" spans="1:7">
      <c r="A56" s="113"/>
      <c r="B56" s="17" t="s">
        <v>7</v>
      </c>
      <c r="C56" s="10">
        <f>C55+C54+C53</f>
        <v>450</v>
      </c>
      <c r="D56" s="104">
        <f t="shared" ref="D56" si="10">SUM(D53:D55)</f>
        <v>309.09000000000003</v>
      </c>
      <c r="E56" s="104">
        <f t="shared" ref="E56:G56" si="11">SUM(E53:E55)</f>
        <v>11.769</v>
      </c>
      <c r="F56" s="104">
        <f t="shared" si="11"/>
        <v>8.6940000000000008</v>
      </c>
      <c r="G56" s="104">
        <f t="shared" si="11"/>
        <v>65.333249999999992</v>
      </c>
    </row>
    <row r="57" spans="1:7">
      <c r="A57" s="113"/>
      <c r="B57" s="17" t="s">
        <v>110</v>
      </c>
      <c r="C57" s="17"/>
      <c r="D57" s="104">
        <f t="shared" ref="D57" si="12">D56+D51+D41</f>
        <v>1753.4016883116881</v>
      </c>
      <c r="E57" s="104">
        <f>E56+E51+E41</f>
        <v>64.064571428571426</v>
      </c>
      <c r="F57" s="104">
        <v>61.083736363636376</v>
      </c>
      <c r="G57" s="104">
        <f t="shared" ref="G57" si="13">G56+G51+G41</f>
        <v>205.71147077922075</v>
      </c>
    </row>
    <row r="58" spans="1:7">
      <c r="A58" s="101"/>
      <c r="B58" s="101"/>
      <c r="C58" s="101"/>
      <c r="D58" s="101"/>
      <c r="E58" s="101"/>
      <c r="F58" s="101"/>
      <c r="G58" s="101"/>
    </row>
    <row r="59" spans="1:7" ht="14.45" customHeight="1">
      <c r="A59" s="4" t="s">
        <v>122</v>
      </c>
      <c r="B59" s="4" t="s">
        <v>0</v>
      </c>
      <c r="C59" s="4" t="s">
        <v>1</v>
      </c>
      <c r="D59" s="12" t="s">
        <v>2</v>
      </c>
      <c r="E59" s="12" t="s">
        <v>105</v>
      </c>
      <c r="F59" s="12"/>
      <c r="G59" s="12"/>
    </row>
    <row r="60" spans="1:7" ht="25.5">
      <c r="A60" s="4"/>
      <c r="B60" s="4"/>
      <c r="C60" s="4"/>
      <c r="D60" s="12"/>
      <c r="E60" s="12" t="s">
        <v>106</v>
      </c>
      <c r="F60" s="12" t="s">
        <v>107</v>
      </c>
      <c r="G60" s="12" t="s">
        <v>108</v>
      </c>
    </row>
    <row r="61" spans="1:7">
      <c r="A61" s="101"/>
      <c r="B61" s="101"/>
      <c r="C61" s="101"/>
      <c r="D61" s="101"/>
      <c r="E61" s="101"/>
      <c r="F61" s="101"/>
      <c r="G61" s="101"/>
    </row>
    <row r="62" spans="1:7">
      <c r="A62" s="4" t="s">
        <v>139</v>
      </c>
      <c r="B62" s="2" t="s">
        <v>29</v>
      </c>
      <c r="C62" s="4">
        <v>100</v>
      </c>
      <c r="D62" s="87">
        <f>10</f>
        <v>10</v>
      </c>
      <c r="E62" s="87">
        <f>0.56</f>
        <v>0.56000000000000005</v>
      </c>
      <c r="F62" s="87">
        <f>0.05*2</f>
        <v>0.1</v>
      </c>
      <c r="G62" s="87">
        <f>1.75</f>
        <v>1.75</v>
      </c>
    </row>
    <row r="63" spans="1:7">
      <c r="A63" s="4">
        <v>276</v>
      </c>
      <c r="B63" s="2" t="s">
        <v>87</v>
      </c>
      <c r="C63" s="3">
        <v>170</v>
      </c>
      <c r="D63" s="87">
        <f>200*170/117</f>
        <v>290.59829059829059</v>
      </c>
      <c r="E63" s="87">
        <f>12.26*170/117</f>
        <v>17.813675213675211</v>
      </c>
      <c r="F63" s="87">
        <f>7.78*170/117</f>
        <v>11.304273504273505</v>
      </c>
      <c r="G63" s="87">
        <f>20.13*170/117</f>
        <v>29.24871794871795</v>
      </c>
    </row>
    <row r="64" spans="1:7">
      <c r="A64" s="4" t="s">
        <v>129</v>
      </c>
      <c r="B64" s="2" t="s">
        <v>30</v>
      </c>
      <c r="C64" s="3">
        <v>200</v>
      </c>
      <c r="D64" s="87">
        <v>83.4</v>
      </c>
      <c r="E64" s="87">
        <f>5*0.2</f>
        <v>1</v>
      </c>
      <c r="F64" s="87">
        <v>0.2</v>
      </c>
      <c r="G64" s="87">
        <v>19.600000000000001</v>
      </c>
    </row>
    <row r="65" spans="1:7">
      <c r="A65" s="4"/>
      <c r="B65" s="2" t="s">
        <v>5</v>
      </c>
      <c r="C65" s="3">
        <v>30</v>
      </c>
      <c r="D65" s="87">
        <v>47.4</v>
      </c>
      <c r="E65" s="87">
        <v>1.5</v>
      </c>
      <c r="F65" s="87">
        <v>0.1</v>
      </c>
      <c r="G65" s="87">
        <v>10</v>
      </c>
    </row>
    <row r="66" spans="1:7">
      <c r="A66" s="113"/>
      <c r="B66" s="17" t="s">
        <v>7</v>
      </c>
      <c r="C66" s="16">
        <f>SUM(C62:C65)</f>
        <v>500</v>
      </c>
      <c r="D66" s="104">
        <f t="shared" ref="D66" si="14">SUM(D62:D65)</f>
        <v>431.3982905982906</v>
      </c>
      <c r="E66" s="104">
        <f t="shared" ref="E66:G66" si="15">SUM(E62:E65)</f>
        <v>20.87367521367521</v>
      </c>
      <c r="F66" s="104">
        <f t="shared" si="15"/>
        <v>11.704273504273504</v>
      </c>
      <c r="G66" s="104">
        <f t="shared" si="15"/>
        <v>60.598717948717947</v>
      </c>
    </row>
    <row r="67" spans="1:7">
      <c r="A67" s="101"/>
      <c r="B67" s="101"/>
      <c r="C67" s="101"/>
      <c r="D67" s="101"/>
      <c r="E67" s="101"/>
      <c r="F67" s="101"/>
      <c r="G67" s="101"/>
    </row>
    <row r="68" spans="1:7" ht="14.45" customHeight="1">
      <c r="A68" s="4" t="s">
        <v>140</v>
      </c>
      <c r="B68" s="2" t="s">
        <v>31</v>
      </c>
      <c r="C68" s="4">
        <v>60</v>
      </c>
      <c r="D68" s="87">
        <f>604*0.06</f>
        <v>36.24</v>
      </c>
      <c r="E68" s="87">
        <f>13.12*0.06</f>
        <v>0.7871999999999999</v>
      </c>
      <c r="F68" s="87">
        <f>32.49*0.06</f>
        <v>1.9494</v>
      </c>
      <c r="G68" s="87">
        <f>64.56*0.06</f>
        <v>3.8736000000000002</v>
      </c>
    </row>
    <row r="69" spans="1:7">
      <c r="A69" s="4" t="s">
        <v>141</v>
      </c>
      <c r="B69" s="2" t="s">
        <v>32</v>
      </c>
      <c r="C69" s="3">
        <v>200</v>
      </c>
      <c r="D69" s="87">
        <f>460*0.2</f>
        <v>92</v>
      </c>
      <c r="E69" s="87">
        <f>22.39*0.2</f>
        <v>4.4780000000000006</v>
      </c>
      <c r="F69" s="87">
        <f>19.2*0.2</f>
        <v>3.84</v>
      </c>
      <c r="G69" s="87">
        <f>40.7*0.2</f>
        <v>8.14</v>
      </c>
    </row>
    <row r="70" spans="1:7">
      <c r="A70" s="4" t="s">
        <v>142</v>
      </c>
      <c r="B70" s="2" t="s">
        <v>33</v>
      </c>
      <c r="C70" s="3">
        <v>150</v>
      </c>
      <c r="D70" s="87">
        <f>383*150/175</f>
        <v>328.28571428571428</v>
      </c>
      <c r="E70" s="87">
        <f>10.3*150/175</f>
        <v>8.8285714285714292</v>
      </c>
      <c r="F70" s="87">
        <v>22.29</v>
      </c>
      <c r="G70" s="87">
        <f>16.58*150/200</f>
        <v>12.434999999999997</v>
      </c>
    </row>
    <row r="71" spans="1:7">
      <c r="A71" s="4" t="s">
        <v>131</v>
      </c>
      <c r="B71" s="2" t="s">
        <v>88</v>
      </c>
      <c r="C71" s="3">
        <v>180</v>
      </c>
      <c r="D71" s="87">
        <f>100*180/200</f>
        <v>90</v>
      </c>
      <c r="E71" s="87">
        <f>5.8*180/200</f>
        <v>5.22</v>
      </c>
      <c r="F71" s="87">
        <f>5*180/200</f>
        <v>4.5</v>
      </c>
      <c r="G71" s="87">
        <f>8*180/200</f>
        <v>7.2</v>
      </c>
    </row>
    <row r="72" spans="1:7">
      <c r="A72" s="4" t="s">
        <v>125</v>
      </c>
      <c r="B72" s="5" t="s">
        <v>89</v>
      </c>
      <c r="C72" s="6">
        <v>100</v>
      </c>
      <c r="D72" s="90">
        <v>47</v>
      </c>
      <c r="E72" s="90">
        <v>0.4</v>
      </c>
      <c r="F72" s="90">
        <v>0.3</v>
      </c>
      <c r="G72" s="90">
        <v>10.5</v>
      </c>
    </row>
    <row r="73" spans="1:7">
      <c r="A73" s="4"/>
      <c r="B73" s="2" t="s">
        <v>90</v>
      </c>
      <c r="C73" s="3">
        <v>15</v>
      </c>
      <c r="D73" s="87">
        <f>123.4*15/40</f>
        <v>46.274999999999999</v>
      </c>
      <c r="E73" s="87">
        <f>3*15/40</f>
        <v>1.125</v>
      </c>
      <c r="F73" s="87">
        <f>3.8*15/40</f>
        <v>1.425</v>
      </c>
      <c r="G73" s="87">
        <f>23*15/40</f>
        <v>8.625</v>
      </c>
    </row>
    <row r="74" spans="1:7">
      <c r="A74" s="4"/>
      <c r="B74" s="2" t="s">
        <v>5</v>
      </c>
      <c r="C74" s="3">
        <v>40</v>
      </c>
      <c r="D74" s="87">
        <f>119.6*40/60</f>
        <v>79.733333333333334</v>
      </c>
      <c r="E74" s="87">
        <f>4.56*40/60</f>
        <v>3.0399999999999996</v>
      </c>
      <c r="F74" s="87">
        <f>0.36*40/60</f>
        <v>0.23999999999999996</v>
      </c>
      <c r="G74" s="87">
        <f>30.12*40/60</f>
        <v>20.079999999999998</v>
      </c>
    </row>
    <row r="75" spans="1:7">
      <c r="A75" s="113"/>
      <c r="B75" s="17" t="s">
        <v>7</v>
      </c>
      <c r="C75" s="16">
        <f>SUM(C68:C74)</f>
        <v>745</v>
      </c>
      <c r="D75" s="104">
        <f t="shared" ref="D75" si="16">SUM(D68:D74)</f>
        <v>719.53404761904756</v>
      </c>
      <c r="E75" s="104">
        <f t="shared" ref="E75:G75" si="17">SUM(E68:E74)</f>
        <v>23.878771428571426</v>
      </c>
      <c r="F75" s="104">
        <f t="shared" si="17"/>
        <v>34.544399999999996</v>
      </c>
      <c r="G75" s="104">
        <f t="shared" si="17"/>
        <v>70.8536</v>
      </c>
    </row>
    <row r="76" spans="1:7">
      <c r="A76" s="101"/>
      <c r="B76" s="101"/>
      <c r="C76" s="101"/>
      <c r="D76" s="101"/>
      <c r="E76" s="101"/>
      <c r="F76" s="101"/>
      <c r="G76" s="101"/>
    </row>
    <row r="77" spans="1:7">
      <c r="A77" s="4" t="s">
        <v>143</v>
      </c>
      <c r="B77" s="2" t="s">
        <v>34</v>
      </c>
      <c r="C77" s="3">
        <v>100</v>
      </c>
      <c r="D77" s="87">
        <v>226.25</v>
      </c>
      <c r="E77" s="87">
        <f>8.72*100/80</f>
        <v>10.900000000000002</v>
      </c>
      <c r="F77" s="87">
        <v>7.38</v>
      </c>
      <c r="G77" s="87">
        <v>27.75</v>
      </c>
    </row>
    <row r="78" spans="1:7">
      <c r="A78" s="4" t="s">
        <v>124</v>
      </c>
      <c r="B78" s="2" t="s">
        <v>4</v>
      </c>
      <c r="C78" s="4">
        <v>200</v>
      </c>
      <c r="D78" s="87">
        <v>81</v>
      </c>
      <c r="E78" s="87">
        <v>1.52</v>
      </c>
      <c r="F78" s="87">
        <v>1.35</v>
      </c>
      <c r="G78" s="87">
        <v>15.9</v>
      </c>
    </row>
    <row r="79" spans="1:7">
      <c r="A79" s="113"/>
      <c r="B79" s="17" t="s">
        <v>7</v>
      </c>
      <c r="C79" s="10">
        <v>300</v>
      </c>
      <c r="D79" s="104">
        <f t="shared" ref="D79" si="18">SUM(D77:D78)</f>
        <v>307.25</v>
      </c>
      <c r="E79" s="104">
        <f t="shared" ref="E79:G79" si="19">SUM(E77:E78)</f>
        <v>12.420000000000002</v>
      </c>
      <c r="F79" s="104">
        <f t="shared" si="19"/>
        <v>8.73</v>
      </c>
      <c r="G79" s="104">
        <f t="shared" si="19"/>
        <v>43.65</v>
      </c>
    </row>
    <row r="80" spans="1:7">
      <c r="A80" s="113"/>
      <c r="B80" s="17" t="s">
        <v>110</v>
      </c>
      <c r="C80" s="17"/>
      <c r="D80" s="104">
        <f t="shared" ref="D80" si="20">D79+D75+D66</f>
        <v>1458.1823382173384</v>
      </c>
      <c r="E80" s="104">
        <f t="shared" ref="E80:G80" si="21">E79+E75+E66</f>
        <v>57.172446642246641</v>
      </c>
      <c r="F80" s="104">
        <f t="shared" si="21"/>
        <v>54.978673504273502</v>
      </c>
      <c r="G80" s="104">
        <f t="shared" si="21"/>
        <v>175.10231794871794</v>
      </c>
    </row>
    <row r="81" spans="1:7">
      <c r="A81" s="101"/>
      <c r="B81" s="101"/>
      <c r="C81" s="101"/>
      <c r="D81" s="101"/>
      <c r="E81" s="101"/>
      <c r="F81" s="101"/>
      <c r="G81" s="101"/>
    </row>
    <row r="82" spans="1:7" ht="14.45" customHeight="1">
      <c r="A82" s="4" t="s">
        <v>122</v>
      </c>
      <c r="B82" s="4" t="s">
        <v>0</v>
      </c>
      <c r="C82" s="4" t="s">
        <v>1</v>
      </c>
      <c r="D82" s="12" t="s">
        <v>2</v>
      </c>
      <c r="E82" s="12" t="s">
        <v>105</v>
      </c>
      <c r="F82" s="12"/>
      <c r="G82" s="12"/>
    </row>
    <row r="83" spans="1:7" ht="25.5">
      <c r="A83" s="4"/>
      <c r="B83" s="4"/>
      <c r="C83" s="4"/>
      <c r="D83" s="12"/>
      <c r="E83" s="12" t="s">
        <v>106</v>
      </c>
      <c r="F83" s="12" t="s">
        <v>107</v>
      </c>
      <c r="G83" s="12" t="s">
        <v>108</v>
      </c>
    </row>
    <row r="84" spans="1:7">
      <c r="A84" s="101"/>
      <c r="B84" s="101"/>
      <c r="C84" s="101"/>
      <c r="D84" s="101"/>
      <c r="E84" s="101"/>
      <c r="F84" s="101"/>
      <c r="G84" s="101"/>
    </row>
    <row r="85" spans="1:7">
      <c r="A85" s="4" t="s">
        <v>144</v>
      </c>
      <c r="B85" s="2" t="s">
        <v>35</v>
      </c>
      <c r="C85" s="3">
        <v>60</v>
      </c>
      <c r="D85" s="87">
        <f>857*0.06</f>
        <v>51.419999999999995</v>
      </c>
      <c r="E85" s="87">
        <f>17.07*0.06</f>
        <v>1.0242</v>
      </c>
      <c r="F85" s="87">
        <f>50.04*0.06</f>
        <v>3.0023999999999997</v>
      </c>
      <c r="G85" s="87">
        <f>84.58*0.06</f>
        <v>5.0747999999999998</v>
      </c>
    </row>
    <row r="86" spans="1:7">
      <c r="A86" s="4" t="s">
        <v>145</v>
      </c>
      <c r="B86" s="2" t="s">
        <v>36</v>
      </c>
      <c r="C86" s="3">
        <v>170</v>
      </c>
      <c r="D86" s="87">
        <f>208*170/175</f>
        <v>202.05714285714285</v>
      </c>
      <c r="E86" s="87">
        <f>12.81*170/175</f>
        <v>12.444000000000001</v>
      </c>
      <c r="F86" s="87">
        <f>10.65*170/175</f>
        <v>10.345714285714285</v>
      </c>
      <c r="G86" s="87">
        <f>15.2*170/175</f>
        <v>14.765714285714285</v>
      </c>
    </row>
    <row r="87" spans="1:7">
      <c r="A87" s="4" t="s">
        <v>124</v>
      </c>
      <c r="B87" s="2" t="s">
        <v>4</v>
      </c>
      <c r="C87" s="4">
        <v>180</v>
      </c>
      <c r="D87" s="87">
        <f>81*180/200</f>
        <v>72.900000000000006</v>
      </c>
      <c r="E87" s="87">
        <f>1.52*180/200</f>
        <v>1.3680000000000001</v>
      </c>
      <c r="F87" s="87">
        <f>1.35*180/200</f>
        <v>1.2150000000000001</v>
      </c>
      <c r="G87" s="87">
        <f>15.9*180/200</f>
        <v>14.31</v>
      </c>
    </row>
    <row r="88" spans="1:7">
      <c r="A88" s="4" t="s">
        <v>125</v>
      </c>
      <c r="B88" s="2" t="s">
        <v>82</v>
      </c>
      <c r="C88" s="3">
        <v>100</v>
      </c>
      <c r="D88" s="87">
        <v>56.4</v>
      </c>
      <c r="E88" s="87">
        <v>0.5</v>
      </c>
      <c r="F88" s="87">
        <v>0.5</v>
      </c>
      <c r="G88" s="87">
        <v>11.8</v>
      </c>
    </row>
    <row r="89" spans="1:7">
      <c r="A89" s="4"/>
      <c r="B89" s="2" t="s">
        <v>5</v>
      </c>
      <c r="C89" s="3">
        <v>20</v>
      </c>
      <c r="D89" s="87">
        <f>118.4*20/50</f>
        <v>47.36</v>
      </c>
      <c r="E89" s="87">
        <f>3.8*20/50</f>
        <v>1.52</v>
      </c>
      <c r="F89" s="87">
        <v>0.1</v>
      </c>
      <c r="G89" s="87">
        <v>10</v>
      </c>
    </row>
    <row r="90" spans="1:7">
      <c r="A90" s="113"/>
      <c r="B90" s="17" t="s">
        <v>7</v>
      </c>
      <c r="C90" s="10">
        <f>SUM(C85:C89)</f>
        <v>530</v>
      </c>
      <c r="D90" s="104">
        <f t="shared" ref="D90" si="22">SUM(D85:D89)</f>
        <v>430.13714285714286</v>
      </c>
      <c r="E90" s="104">
        <f t="shared" ref="E90:G90" si="23">SUM(E85:E89)</f>
        <v>16.856200000000001</v>
      </c>
      <c r="F90" s="104">
        <f t="shared" si="23"/>
        <v>15.163114285714284</v>
      </c>
      <c r="G90" s="104">
        <f t="shared" si="23"/>
        <v>55.950514285714291</v>
      </c>
    </row>
    <row r="91" spans="1:7">
      <c r="A91" s="101"/>
      <c r="B91" s="101"/>
      <c r="C91" s="101"/>
      <c r="D91" s="101"/>
      <c r="E91" s="101"/>
      <c r="F91" s="101"/>
      <c r="G91" s="101"/>
    </row>
    <row r="92" spans="1:7">
      <c r="A92" s="4">
        <v>75</v>
      </c>
      <c r="B92" s="2" t="s">
        <v>37</v>
      </c>
      <c r="C92" s="3">
        <v>60</v>
      </c>
      <c r="D92" s="87">
        <f>1863*0.06</f>
        <v>111.78</v>
      </c>
      <c r="E92" s="87">
        <f>23.7*0.06</f>
        <v>1.4219999999999999</v>
      </c>
      <c r="F92" s="87">
        <f>1.02*0.06</f>
        <v>6.1199999999999997E-2</v>
      </c>
      <c r="G92" s="87">
        <f>228.71*0.06</f>
        <v>13.7226</v>
      </c>
    </row>
    <row r="93" spans="1:7">
      <c r="A93" s="4" t="s">
        <v>146</v>
      </c>
      <c r="B93" s="2" t="s">
        <v>38</v>
      </c>
      <c r="C93" s="3">
        <v>200</v>
      </c>
      <c r="D93" s="87">
        <f>429*0.2</f>
        <v>85.800000000000011</v>
      </c>
      <c r="E93" s="87">
        <f>8.07*0.2</f>
        <v>1.6140000000000001</v>
      </c>
      <c r="F93" s="87">
        <f>20.36*0.2</f>
        <v>4.0720000000000001</v>
      </c>
      <c r="G93" s="87">
        <f>47.92*0.2</f>
        <v>9.5840000000000014</v>
      </c>
    </row>
    <row r="94" spans="1:7">
      <c r="A94" s="4"/>
      <c r="B94" s="2"/>
      <c r="C94" s="3"/>
      <c r="D94" s="87"/>
      <c r="E94" s="87"/>
      <c r="F94" s="87"/>
      <c r="G94" s="87"/>
    </row>
    <row r="95" spans="1:7" ht="14.45" customHeight="1">
      <c r="A95" s="4" t="s">
        <v>128</v>
      </c>
      <c r="B95" s="2" t="s">
        <v>111</v>
      </c>
      <c r="C95" s="3">
        <v>215</v>
      </c>
      <c r="D95" s="87">
        <v>362.03</v>
      </c>
      <c r="E95" s="87">
        <v>13.51</v>
      </c>
      <c r="F95" s="87">
        <v>15.34</v>
      </c>
      <c r="G95" s="87">
        <v>33.590000000000003</v>
      </c>
    </row>
    <row r="96" spans="1:7">
      <c r="A96" s="4" t="s">
        <v>129</v>
      </c>
      <c r="B96" s="2" t="s">
        <v>11</v>
      </c>
      <c r="C96" s="3">
        <v>200</v>
      </c>
      <c r="D96" s="87">
        <v>100.4</v>
      </c>
      <c r="E96" s="87">
        <v>1.4</v>
      </c>
      <c r="F96" s="87">
        <v>0.4</v>
      </c>
      <c r="G96" s="87">
        <v>22.8</v>
      </c>
    </row>
    <row r="97" spans="1:7">
      <c r="A97" s="4"/>
      <c r="B97" s="2" t="s">
        <v>5</v>
      </c>
      <c r="C97" s="3">
        <v>40</v>
      </c>
      <c r="D97" s="87">
        <f>119.6*40/60</f>
        <v>79.733333333333334</v>
      </c>
      <c r="E97" s="87">
        <f>4.56*40/60</f>
        <v>3.0399999999999996</v>
      </c>
      <c r="F97" s="87">
        <f>0.36*40/60</f>
        <v>0.23999999999999996</v>
      </c>
      <c r="G97" s="87">
        <f>30.12*40/60</f>
        <v>20.079999999999998</v>
      </c>
    </row>
    <row r="98" spans="1:7">
      <c r="A98" s="4"/>
      <c r="B98" s="2" t="s">
        <v>6</v>
      </c>
      <c r="C98" s="3">
        <v>30</v>
      </c>
      <c r="D98" s="87">
        <v>61.2</v>
      </c>
      <c r="E98" s="87">
        <v>2</v>
      </c>
      <c r="F98" s="87">
        <v>0.3</v>
      </c>
      <c r="G98" s="87">
        <v>12.7</v>
      </c>
    </row>
    <row r="99" spans="1:7">
      <c r="A99" s="113"/>
      <c r="B99" s="17" t="s">
        <v>7</v>
      </c>
      <c r="C99" s="10">
        <f>SUM(C92:C98)</f>
        <v>745</v>
      </c>
      <c r="D99" s="104">
        <f t="shared" ref="D99" si="24">SUM(D92:D98)</f>
        <v>800.94333333333338</v>
      </c>
      <c r="E99" s="104">
        <f t="shared" ref="E99:G99" si="25">SUM(E92:E98)</f>
        <v>22.985999999999997</v>
      </c>
      <c r="F99" s="104">
        <f t="shared" si="25"/>
        <v>20.413199999999996</v>
      </c>
      <c r="G99" s="104">
        <f t="shared" si="25"/>
        <v>112.4766</v>
      </c>
    </row>
    <row r="100" spans="1:7">
      <c r="A100" s="101"/>
      <c r="B100" s="101"/>
      <c r="C100" s="101"/>
      <c r="D100" s="101"/>
      <c r="E100" s="101"/>
      <c r="F100" s="101"/>
      <c r="G100" s="101"/>
    </row>
    <row r="101" spans="1:7">
      <c r="A101" s="4" t="s">
        <v>147</v>
      </c>
      <c r="B101" s="2" t="s">
        <v>112</v>
      </c>
      <c r="C101" s="3">
        <v>150</v>
      </c>
      <c r="D101" s="90">
        <v>117.98</v>
      </c>
      <c r="E101" s="90">
        <v>2.98</v>
      </c>
      <c r="F101" s="90">
        <v>2.1800000000000002</v>
      </c>
      <c r="G101" s="90">
        <v>23.96</v>
      </c>
    </row>
    <row r="102" spans="1:7">
      <c r="A102" s="4" t="s">
        <v>134</v>
      </c>
      <c r="B102" s="5" t="s">
        <v>20</v>
      </c>
      <c r="C102" s="6">
        <v>180</v>
      </c>
      <c r="D102" s="90">
        <f>503*0.18</f>
        <v>90.539999999999992</v>
      </c>
      <c r="E102" s="90">
        <f>15.83*0.18</f>
        <v>2.8493999999999997</v>
      </c>
      <c r="F102" s="90">
        <f>13.39*0.18</f>
        <v>2.4102000000000001</v>
      </c>
      <c r="G102" s="90">
        <f>79.73*0.18</f>
        <v>14.3514</v>
      </c>
    </row>
    <row r="103" spans="1:7">
      <c r="A103" s="4"/>
      <c r="B103" s="2" t="s">
        <v>5</v>
      </c>
      <c r="C103" s="3">
        <v>20</v>
      </c>
      <c r="D103" s="87">
        <v>47.4</v>
      </c>
      <c r="E103" s="87">
        <v>1.5</v>
      </c>
      <c r="F103" s="87">
        <v>0.1</v>
      </c>
      <c r="G103" s="87">
        <v>10</v>
      </c>
    </row>
    <row r="104" spans="1:7">
      <c r="A104" s="113"/>
      <c r="B104" s="17" t="s">
        <v>7</v>
      </c>
      <c r="C104" s="16">
        <f>SUM(C101:C103)</f>
        <v>350</v>
      </c>
      <c r="D104" s="104">
        <f t="shared" ref="D104" si="26">SUM(D101:D103)</f>
        <v>255.92</v>
      </c>
      <c r="E104" s="104">
        <f t="shared" ref="E104:G104" si="27">SUM(E101:E103)</f>
        <v>7.3293999999999997</v>
      </c>
      <c r="F104" s="104">
        <f t="shared" si="27"/>
        <v>4.6901999999999999</v>
      </c>
      <c r="G104" s="104">
        <f t="shared" si="27"/>
        <v>48.311399999999999</v>
      </c>
    </row>
    <row r="105" spans="1:7">
      <c r="A105" s="113"/>
      <c r="B105" s="17" t="s">
        <v>110</v>
      </c>
      <c r="C105" s="17"/>
      <c r="D105" s="104">
        <f t="shared" ref="D105" si="28">D104+D99+D90</f>
        <v>1487.0004761904763</v>
      </c>
      <c r="E105" s="104">
        <f t="shared" ref="E105:G105" si="29">E104+E99+E90</f>
        <v>47.171599999999998</v>
      </c>
      <c r="F105" s="104">
        <f t="shared" si="29"/>
        <v>40.26651428571428</v>
      </c>
      <c r="G105" s="104">
        <f t="shared" si="29"/>
        <v>216.7385142857143</v>
      </c>
    </row>
    <row r="106" spans="1:7">
      <c r="A106" s="101"/>
      <c r="B106" s="101"/>
      <c r="C106" s="101"/>
      <c r="D106" s="101"/>
      <c r="E106" s="101"/>
      <c r="F106" s="101"/>
      <c r="G106" s="101"/>
    </row>
    <row r="107" spans="1:7" ht="14.45" customHeight="1">
      <c r="A107" s="4" t="s">
        <v>122</v>
      </c>
      <c r="B107" s="4" t="s">
        <v>0</v>
      </c>
      <c r="C107" s="4" t="s">
        <v>1</v>
      </c>
      <c r="D107" s="12" t="s">
        <v>2</v>
      </c>
      <c r="E107" s="12" t="s">
        <v>105</v>
      </c>
      <c r="F107" s="12"/>
      <c r="G107" s="12"/>
    </row>
    <row r="108" spans="1:7" ht="25.5">
      <c r="A108" s="4"/>
      <c r="B108" s="4"/>
      <c r="C108" s="4"/>
      <c r="D108" s="12"/>
      <c r="E108" s="12" t="s">
        <v>106</v>
      </c>
      <c r="F108" s="12" t="s">
        <v>107</v>
      </c>
      <c r="G108" s="12" t="s">
        <v>108</v>
      </c>
    </row>
    <row r="109" spans="1:7">
      <c r="A109" s="101"/>
      <c r="B109" s="101"/>
      <c r="C109" s="101"/>
      <c r="D109" s="101"/>
      <c r="E109" s="101"/>
      <c r="F109" s="101"/>
      <c r="G109" s="101"/>
    </row>
    <row r="110" spans="1:7">
      <c r="A110" s="4" t="s">
        <v>148</v>
      </c>
      <c r="B110" s="2" t="s">
        <v>39</v>
      </c>
      <c r="C110" s="3">
        <v>100</v>
      </c>
      <c r="D110" s="87">
        <f>792*0.1</f>
        <v>79.2</v>
      </c>
      <c r="E110" s="87">
        <f>22.74*0.1</f>
        <v>2.274</v>
      </c>
      <c r="F110" s="87">
        <f>3.97*0.1</f>
        <v>0.39700000000000002</v>
      </c>
      <c r="G110" s="87">
        <f>166.44*0.1</f>
        <v>16.644000000000002</v>
      </c>
    </row>
    <row r="111" spans="1:7">
      <c r="A111" s="4">
        <v>206</v>
      </c>
      <c r="B111" s="2" t="s">
        <v>91</v>
      </c>
      <c r="C111" s="3">
        <v>150</v>
      </c>
      <c r="D111" s="87">
        <v>231</v>
      </c>
      <c r="E111" s="87">
        <v>7.24</v>
      </c>
      <c r="F111" s="87">
        <v>12.25</v>
      </c>
      <c r="G111" s="87">
        <v>11.52</v>
      </c>
    </row>
    <row r="112" spans="1:7">
      <c r="A112" s="4" t="s">
        <v>138</v>
      </c>
      <c r="B112" s="2" t="s">
        <v>27</v>
      </c>
      <c r="C112" s="3">
        <v>200</v>
      </c>
      <c r="D112" s="87">
        <f>112*0.2</f>
        <v>22.400000000000002</v>
      </c>
      <c r="E112" s="87">
        <f>0.8*0.2</f>
        <v>0.16000000000000003</v>
      </c>
      <c r="F112" s="87">
        <f>0.8*0.2</f>
        <v>0.16000000000000003</v>
      </c>
      <c r="G112" s="87">
        <f>139.4*0.2</f>
        <v>27.880000000000003</v>
      </c>
    </row>
    <row r="113" spans="1:7">
      <c r="A113" s="4"/>
      <c r="B113" s="2" t="s">
        <v>5</v>
      </c>
      <c r="C113" s="3">
        <v>30</v>
      </c>
      <c r="D113" s="87">
        <v>47.4</v>
      </c>
      <c r="E113" s="87">
        <v>1.5</v>
      </c>
      <c r="F113" s="87" t="s">
        <v>113</v>
      </c>
      <c r="G113" s="87">
        <v>10</v>
      </c>
    </row>
    <row r="114" spans="1:7">
      <c r="A114" s="4"/>
      <c r="B114" s="2" t="s">
        <v>6</v>
      </c>
      <c r="C114" s="3">
        <v>20</v>
      </c>
      <c r="D114" s="87">
        <v>40.799999999999997</v>
      </c>
      <c r="E114" s="87">
        <v>1.3</v>
      </c>
      <c r="F114" s="87">
        <v>0.2</v>
      </c>
      <c r="G114" s="87">
        <v>8.5</v>
      </c>
    </row>
    <row r="115" spans="1:7">
      <c r="A115" s="113"/>
      <c r="B115" s="17" t="s">
        <v>7</v>
      </c>
      <c r="C115" s="16">
        <f>SUM(C110:C114)</f>
        <v>500</v>
      </c>
      <c r="D115" s="104">
        <f t="shared" ref="D115" si="30">SUM(D110:D114)</f>
        <v>420.79999999999995</v>
      </c>
      <c r="E115" s="104">
        <f>SUM(E110:E114)</f>
        <v>12.474</v>
      </c>
      <c r="F115" s="104">
        <f t="shared" ref="F115:G115" si="31">SUM(F110:F114)</f>
        <v>13.007</v>
      </c>
      <c r="G115" s="104">
        <f t="shared" si="31"/>
        <v>74.544000000000011</v>
      </c>
    </row>
    <row r="116" spans="1:7">
      <c r="A116" s="101"/>
      <c r="B116" s="101"/>
      <c r="C116" s="101"/>
      <c r="D116" s="101"/>
      <c r="E116" s="101"/>
      <c r="F116" s="101"/>
      <c r="G116" s="101"/>
    </row>
    <row r="117" spans="1:7">
      <c r="A117" s="4"/>
      <c r="B117" s="2"/>
      <c r="C117" s="3"/>
      <c r="D117" s="87"/>
      <c r="E117" s="87"/>
      <c r="F117" s="87"/>
      <c r="G117" s="87"/>
    </row>
    <row r="118" spans="1:7">
      <c r="A118" s="4" t="s">
        <v>149</v>
      </c>
      <c r="B118" s="2" t="s">
        <v>41</v>
      </c>
      <c r="C118" s="3">
        <v>60</v>
      </c>
      <c r="D118" s="87">
        <f>1340*0.06</f>
        <v>80.399999999999991</v>
      </c>
      <c r="E118" s="87">
        <f>18.52*0.06</f>
        <v>1.1112</v>
      </c>
      <c r="F118" s="87">
        <f>60.42*0.06</f>
        <v>3.6252</v>
      </c>
      <c r="G118" s="87">
        <f>180.63*0.06</f>
        <v>10.8378</v>
      </c>
    </row>
    <row r="119" spans="1:7">
      <c r="A119" s="4" t="s">
        <v>150</v>
      </c>
      <c r="B119" s="2" t="s">
        <v>40</v>
      </c>
      <c r="C119" s="3">
        <v>200</v>
      </c>
      <c r="D119" s="87">
        <f>320*0.2</f>
        <v>64</v>
      </c>
      <c r="E119" s="87">
        <f>7.02*0.2</f>
        <v>1.4039999999999999</v>
      </c>
      <c r="F119" s="87">
        <f>19.54*0.2</f>
        <v>3.9079999999999999</v>
      </c>
      <c r="G119" s="87">
        <f>23.6*0.2</f>
        <v>4.7200000000000006</v>
      </c>
    </row>
    <row r="120" spans="1:7">
      <c r="A120" s="4">
        <v>223</v>
      </c>
      <c r="B120" s="2" t="s">
        <v>92</v>
      </c>
      <c r="C120" s="3">
        <v>190</v>
      </c>
      <c r="D120" s="87">
        <f>144*190/80</f>
        <v>342</v>
      </c>
      <c r="E120" s="87">
        <v>15.94</v>
      </c>
      <c r="F120" s="87">
        <v>11.42</v>
      </c>
      <c r="G120" s="87">
        <f>18.61*190/80</f>
        <v>44.198750000000004</v>
      </c>
    </row>
    <row r="121" spans="1:7">
      <c r="A121" s="4"/>
      <c r="B121" s="2"/>
      <c r="C121" s="3"/>
      <c r="D121" s="87"/>
      <c r="E121" s="87"/>
      <c r="F121" s="87"/>
      <c r="G121" s="87"/>
    </row>
    <row r="122" spans="1:7">
      <c r="A122" s="4" t="s">
        <v>131</v>
      </c>
      <c r="B122" s="2" t="s">
        <v>88</v>
      </c>
      <c r="C122" s="3">
        <v>180</v>
      </c>
      <c r="D122" s="87">
        <f>100*180/200</f>
        <v>90</v>
      </c>
      <c r="E122" s="87">
        <f>5.8*180/200</f>
        <v>5.22</v>
      </c>
      <c r="F122" s="87">
        <f>5*180/200</f>
        <v>4.5</v>
      </c>
      <c r="G122" s="87">
        <f>8*180/200</f>
        <v>7.2</v>
      </c>
    </row>
    <row r="123" spans="1:7">
      <c r="A123" s="4"/>
      <c r="B123" s="2" t="s">
        <v>5</v>
      </c>
      <c r="C123" s="3">
        <v>50</v>
      </c>
      <c r="D123" s="87">
        <v>118.4</v>
      </c>
      <c r="E123" s="87">
        <v>3.8</v>
      </c>
      <c r="F123" s="87">
        <v>0.3</v>
      </c>
      <c r="G123" s="87">
        <v>25.1</v>
      </c>
    </row>
    <row r="124" spans="1:7">
      <c r="A124" s="4"/>
      <c r="B124" s="2" t="s">
        <v>6</v>
      </c>
      <c r="C124" s="3">
        <v>30</v>
      </c>
      <c r="D124" s="87">
        <v>61.2</v>
      </c>
      <c r="E124" s="87">
        <v>2</v>
      </c>
      <c r="F124" s="87">
        <v>0.3</v>
      </c>
      <c r="G124" s="87">
        <v>12.7</v>
      </c>
    </row>
    <row r="125" spans="1:7">
      <c r="A125" s="113"/>
      <c r="B125" s="17" t="s">
        <v>7</v>
      </c>
      <c r="C125" s="10">
        <f>SUM(C118:C124)</f>
        <v>710</v>
      </c>
      <c r="D125" s="104">
        <f t="shared" ref="D125" si="32">SUM(D118:D124)</f>
        <v>756</v>
      </c>
      <c r="E125" s="104">
        <f>SUM(E118:E124)</f>
        <v>29.475199999999997</v>
      </c>
      <c r="F125" s="104">
        <f t="shared" ref="F125:G125" si="33">SUM(F118:F124)</f>
        <v>24.0532</v>
      </c>
      <c r="G125" s="104">
        <f t="shared" si="33"/>
        <v>104.75655000000002</v>
      </c>
    </row>
    <row r="126" spans="1:7">
      <c r="A126" s="101"/>
      <c r="B126" s="101"/>
      <c r="C126" s="101"/>
      <c r="D126" s="101"/>
      <c r="E126" s="101"/>
      <c r="F126" s="101"/>
      <c r="G126" s="101"/>
    </row>
    <row r="127" spans="1:7">
      <c r="A127" s="4">
        <v>268</v>
      </c>
      <c r="B127" s="2" t="s">
        <v>93</v>
      </c>
      <c r="C127" s="4">
        <v>120</v>
      </c>
      <c r="D127" s="87">
        <v>268</v>
      </c>
      <c r="E127" s="87">
        <v>8.6999999999999993</v>
      </c>
      <c r="F127" s="87">
        <v>19.79</v>
      </c>
      <c r="G127" s="87">
        <v>9.98</v>
      </c>
    </row>
    <row r="128" spans="1:7">
      <c r="A128" s="4" t="s">
        <v>151</v>
      </c>
      <c r="B128" s="2" t="s">
        <v>42</v>
      </c>
      <c r="C128" s="3">
        <v>150</v>
      </c>
      <c r="D128" s="87">
        <f>652*0.15</f>
        <v>97.8</v>
      </c>
      <c r="E128" s="87">
        <f>18.47*150/1000</f>
        <v>2.7705000000000002</v>
      </c>
      <c r="F128" s="87">
        <f>32.34*0.15</f>
        <v>4.851</v>
      </c>
      <c r="G128" s="87">
        <f>71.9*0.15</f>
        <v>10.785</v>
      </c>
    </row>
    <row r="129" spans="1:7">
      <c r="A129" s="4" t="s">
        <v>152</v>
      </c>
      <c r="B129" s="2" t="s">
        <v>43</v>
      </c>
      <c r="C129" s="3">
        <v>180</v>
      </c>
      <c r="D129" s="87">
        <f>593*0.18</f>
        <v>106.74</v>
      </c>
      <c r="E129" s="87">
        <f>20.39*0.18</f>
        <v>3.6701999999999999</v>
      </c>
      <c r="F129" s="87">
        <f>17.72*0.18</f>
        <v>3.1895999999999995</v>
      </c>
      <c r="G129" s="87">
        <f>87.89*0.18</f>
        <v>15.8202</v>
      </c>
    </row>
    <row r="130" spans="1:7">
      <c r="A130" s="4"/>
      <c r="B130" s="2" t="s">
        <v>5</v>
      </c>
      <c r="C130" s="3">
        <v>20</v>
      </c>
      <c r="D130" s="87">
        <v>47.4</v>
      </c>
      <c r="E130" s="87">
        <v>1.5</v>
      </c>
      <c r="F130" s="87">
        <v>0.1</v>
      </c>
      <c r="G130" s="87">
        <v>10</v>
      </c>
    </row>
    <row r="131" spans="1:7">
      <c r="A131" s="113"/>
      <c r="B131" s="17" t="s">
        <v>7</v>
      </c>
      <c r="C131" s="10">
        <f>SUM(C127:C130)</f>
        <v>470</v>
      </c>
      <c r="D131" s="104">
        <f t="shared" ref="D131" si="34">SUM(D127:D130)</f>
        <v>519.94000000000005</v>
      </c>
      <c r="E131" s="104">
        <f t="shared" ref="E131:G131" si="35">SUM(E127:E130)</f>
        <v>16.640699999999999</v>
      </c>
      <c r="F131" s="104">
        <f t="shared" si="35"/>
        <v>27.930599999999998</v>
      </c>
      <c r="G131" s="104">
        <f t="shared" si="35"/>
        <v>46.5852</v>
      </c>
    </row>
    <row r="132" spans="1:7">
      <c r="A132" s="113"/>
      <c r="B132" s="17" t="s">
        <v>110</v>
      </c>
      <c r="C132" s="17"/>
      <c r="D132" s="104">
        <f t="shared" ref="D132" si="36">D131+D125+D115</f>
        <v>1696.74</v>
      </c>
      <c r="E132" s="104">
        <f t="shared" ref="E132:G132" si="37">E131+E125+E115</f>
        <v>58.5899</v>
      </c>
      <c r="F132" s="104">
        <f t="shared" si="37"/>
        <v>64.990800000000007</v>
      </c>
      <c r="G132" s="104">
        <f t="shared" si="37"/>
        <v>225.88575000000003</v>
      </c>
    </row>
    <row r="133" spans="1:7" ht="25.15" customHeight="1">
      <c r="A133" s="101"/>
      <c r="B133" s="101"/>
      <c r="C133" s="101"/>
      <c r="D133" s="101"/>
      <c r="E133" s="101"/>
      <c r="F133" s="101"/>
      <c r="G133" s="101"/>
    </row>
    <row r="134" spans="1:7" ht="25.15" customHeight="1">
      <c r="A134" s="4" t="s">
        <v>122</v>
      </c>
      <c r="B134" s="4" t="s">
        <v>0</v>
      </c>
      <c r="C134" s="4" t="s">
        <v>1</v>
      </c>
      <c r="D134" s="12" t="s">
        <v>2</v>
      </c>
      <c r="E134" s="12" t="s">
        <v>105</v>
      </c>
      <c r="F134" s="12"/>
      <c r="G134" s="12"/>
    </row>
    <row r="135" spans="1:7" ht="25.15" customHeight="1">
      <c r="A135" s="4"/>
      <c r="B135" s="4"/>
      <c r="C135" s="4"/>
      <c r="D135" s="12"/>
      <c r="E135" s="12" t="s">
        <v>106</v>
      </c>
      <c r="F135" s="12" t="s">
        <v>107</v>
      </c>
      <c r="G135" s="12" t="s">
        <v>108</v>
      </c>
    </row>
    <row r="136" spans="1:7">
      <c r="A136" s="101"/>
      <c r="B136" s="101"/>
      <c r="C136" s="101"/>
      <c r="D136" s="101"/>
      <c r="E136" s="101"/>
      <c r="F136" s="101"/>
      <c r="G136" s="101"/>
    </row>
    <row r="137" spans="1:7">
      <c r="A137" s="4" t="s">
        <v>139</v>
      </c>
      <c r="B137" s="2" t="s">
        <v>29</v>
      </c>
      <c r="C137" s="4">
        <v>60</v>
      </c>
      <c r="D137" s="87">
        <f>10*60/100</f>
        <v>6</v>
      </c>
      <c r="E137" s="87">
        <f>0.56*60/100</f>
        <v>0.33600000000000002</v>
      </c>
      <c r="F137" s="87">
        <f>0.05*60/100</f>
        <v>0.03</v>
      </c>
      <c r="G137" s="87">
        <f>1.75*60/100</f>
        <v>1.05</v>
      </c>
    </row>
    <row r="138" spans="1:7">
      <c r="A138" s="4" t="s">
        <v>153</v>
      </c>
      <c r="B138" s="2" t="s">
        <v>44</v>
      </c>
      <c r="C138" s="3">
        <v>150</v>
      </c>
      <c r="D138" s="87">
        <f>915*0.15</f>
        <v>137.25</v>
      </c>
      <c r="E138" s="87">
        <f>20.43*0.15</f>
        <v>3.0644999999999998</v>
      </c>
      <c r="F138" s="87">
        <f>32.01*0.15</f>
        <v>4.8014999999999999</v>
      </c>
      <c r="G138" s="87">
        <f>136.26*0.15</f>
        <v>20.438999999999997</v>
      </c>
    </row>
    <row r="139" spans="1:7">
      <c r="A139" s="4" t="s">
        <v>147</v>
      </c>
      <c r="B139" s="2" t="s">
        <v>114</v>
      </c>
      <c r="C139" s="3">
        <v>90</v>
      </c>
      <c r="D139" s="87">
        <f>159*0.9</f>
        <v>143.1</v>
      </c>
      <c r="E139" s="87">
        <f>12.66*0.9</f>
        <v>11.394</v>
      </c>
      <c r="F139" s="87">
        <f>8.76*0.9</f>
        <v>7.8840000000000003</v>
      </c>
      <c r="G139" s="87">
        <f>3.18*0.9</f>
        <v>2.8620000000000001</v>
      </c>
    </row>
    <row r="140" spans="1:7">
      <c r="A140" s="4" t="s">
        <v>154</v>
      </c>
      <c r="B140" s="2" t="s">
        <v>66</v>
      </c>
      <c r="C140" s="3">
        <v>180</v>
      </c>
      <c r="D140" s="87">
        <f>146.6*180/200</f>
        <v>131.94</v>
      </c>
      <c r="E140" s="87">
        <f>0.3*180/200</f>
        <v>0.27</v>
      </c>
      <c r="F140" s="87">
        <v>0</v>
      </c>
      <c r="G140" s="87">
        <f>36.2*180/200</f>
        <v>32.580000000000005</v>
      </c>
    </row>
    <row r="141" spans="1:7">
      <c r="A141" s="4"/>
      <c r="B141" s="2" t="s">
        <v>5</v>
      </c>
      <c r="C141" s="3">
        <v>20</v>
      </c>
      <c r="D141" s="87">
        <f>118.4*20/50</f>
        <v>47.36</v>
      </c>
      <c r="E141" s="87">
        <f>3.8*20/50</f>
        <v>1.52</v>
      </c>
      <c r="F141" s="87">
        <v>0.1</v>
      </c>
      <c r="G141" s="87">
        <v>10</v>
      </c>
    </row>
    <row r="142" spans="1:7">
      <c r="A142" s="4"/>
      <c r="B142" s="2" t="s">
        <v>6</v>
      </c>
      <c r="C142" s="3">
        <v>20</v>
      </c>
      <c r="D142" s="87">
        <v>40.799999999999997</v>
      </c>
      <c r="E142" s="87">
        <v>1.3</v>
      </c>
      <c r="F142" s="87">
        <v>0.2</v>
      </c>
      <c r="G142" s="87">
        <v>8.5</v>
      </c>
    </row>
    <row r="143" spans="1:7">
      <c r="A143" s="113"/>
      <c r="B143" s="17" t="s">
        <v>7</v>
      </c>
      <c r="C143" s="10">
        <f>SUM(C137:C142)</f>
        <v>520</v>
      </c>
      <c r="D143" s="104">
        <f t="shared" ref="D143" si="38">SUM(D137:D142)</f>
        <v>506.45000000000005</v>
      </c>
      <c r="E143" s="104">
        <f t="shared" ref="E143:G143" si="39">SUM(E137:E142)</f>
        <v>17.884499999999999</v>
      </c>
      <c r="F143" s="104">
        <f t="shared" si="39"/>
        <v>13.015499999999999</v>
      </c>
      <c r="G143" s="104">
        <f t="shared" si="39"/>
        <v>75.431000000000012</v>
      </c>
    </row>
    <row r="144" spans="1:7">
      <c r="A144" s="101"/>
      <c r="B144" s="101"/>
      <c r="C144" s="101"/>
      <c r="D144" s="101"/>
      <c r="E144" s="101"/>
      <c r="F144" s="101"/>
      <c r="G144" s="101"/>
    </row>
    <row r="145" spans="1:7">
      <c r="A145" s="4" t="s">
        <v>155</v>
      </c>
      <c r="B145" s="2" t="s">
        <v>47</v>
      </c>
      <c r="C145" s="3">
        <v>60</v>
      </c>
      <c r="D145" s="87">
        <v>54</v>
      </c>
      <c r="E145" s="87">
        <v>0.7</v>
      </c>
      <c r="F145" s="87">
        <v>2.1</v>
      </c>
      <c r="G145" s="87">
        <v>5.7</v>
      </c>
    </row>
    <row r="146" spans="1:7">
      <c r="A146" s="4">
        <v>99</v>
      </c>
      <c r="B146" s="5" t="s">
        <v>45</v>
      </c>
      <c r="C146" s="6">
        <v>200</v>
      </c>
      <c r="D146" s="87">
        <f>381*0.2</f>
        <v>76.2</v>
      </c>
      <c r="E146" s="87">
        <f>6.35*0.2</f>
        <v>1.27</v>
      </c>
      <c r="F146" s="87">
        <f>19.35*0.2</f>
        <v>3.8700000000000006</v>
      </c>
      <c r="G146" s="87">
        <f>36.56*0.2</f>
        <v>7.3120000000000012</v>
      </c>
    </row>
    <row r="147" spans="1:7">
      <c r="A147" s="4">
        <v>204</v>
      </c>
      <c r="B147" s="2" t="s">
        <v>46</v>
      </c>
      <c r="C147" s="3">
        <v>150</v>
      </c>
      <c r="D147" s="87">
        <f>209*150/125</f>
        <v>250.8</v>
      </c>
      <c r="E147" s="87">
        <f>8.46*150/125</f>
        <v>10.152000000000001</v>
      </c>
      <c r="F147" s="87">
        <v>8.5399999999999991</v>
      </c>
      <c r="G147" s="87">
        <f>19.32*150/125</f>
        <v>23.184000000000001</v>
      </c>
    </row>
    <row r="148" spans="1:7">
      <c r="A148" s="4">
        <v>260</v>
      </c>
      <c r="B148" s="2" t="s">
        <v>94</v>
      </c>
      <c r="C148" s="3">
        <v>110</v>
      </c>
      <c r="D148" s="87">
        <f>221*110/100</f>
        <v>243.1</v>
      </c>
      <c r="E148" s="87">
        <f>10.64*110/100</f>
        <v>11.704000000000001</v>
      </c>
      <c r="F148" s="87">
        <f>22.19*110/100</f>
        <v>24.409000000000002</v>
      </c>
      <c r="G148" s="87">
        <v>4.18</v>
      </c>
    </row>
    <row r="149" spans="1:7">
      <c r="A149" s="4" t="s">
        <v>152</v>
      </c>
      <c r="B149" s="2" t="s">
        <v>43</v>
      </c>
      <c r="C149" s="3">
        <v>180</v>
      </c>
      <c r="D149" s="87">
        <f>593*0.18</f>
        <v>106.74</v>
      </c>
      <c r="E149" s="87">
        <f>20.39*0.18</f>
        <v>3.6701999999999999</v>
      </c>
      <c r="F149" s="87">
        <f>17.72*0.18</f>
        <v>3.1895999999999995</v>
      </c>
      <c r="G149" s="87">
        <f>87.89*0.18</f>
        <v>15.8202</v>
      </c>
    </row>
    <row r="150" spans="1:7">
      <c r="A150" s="4" t="s">
        <v>125</v>
      </c>
      <c r="B150" s="2" t="s">
        <v>82</v>
      </c>
      <c r="C150" s="3">
        <v>100</v>
      </c>
      <c r="D150" s="87">
        <f>56.4*100/120</f>
        <v>47</v>
      </c>
      <c r="E150" s="87">
        <f>0.5*120/100</f>
        <v>0.6</v>
      </c>
      <c r="F150" s="87">
        <v>0.5</v>
      </c>
      <c r="G150" s="87">
        <f>11.8*100/120</f>
        <v>9.8333333333333339</v>
      </c>
    </row>
    <row r="151" spans="1:7">
      <c r="A151" s="4" t="s">
        <v>156</v>
      </c>
      <c r="B151" s="2" t="s">
        <v>25</v>
      </c>
      <c r="C151" s="3">
        <v>200</v>
      </c>
      <c r="D151" s="87">
        <v>52</v>
      </c>
      <c r="E151" s="87">
        <v>2.8</v>
      </c>
      <c r="F151" s="87">
        <f>2.5*100/120</f>
        <v>2.0833333333333335</v>
      </c>
      <c r="G151" s="87">
        <v>4.7</v>
      </c>
    </row>
    <row r="152" spans="1:7">
      <c r="A152" s="4"/>
      <c r="B152" s="2" t="s">
        <v>5</v>
      </c>
      <c r="C152" s="3">
        <v>30</v>
      </c>
      <c r="D152" s="87">
        <v>71</v>
      </c>
      <c r="E152" s="87">
        <v>2.2999999999999998</v>
      </c>
      <c r="F152" s="87">
        <v>0.2</v>
      </c>
      <c r="G152" s="87">
        <v>15.1</v>
      </c>
    </row>
    <row r="153" spans="1:7">
      <c r="A153" s="4"/>
      <c r="B153" s="2" t="s">
        <v>6</v>
      </c>
      <c r="C153" s="3">
        <v>20</v>
      </c>
      <c r="D153" s="87">
        <v>40.799999999999997</v>
      </c>
      <c r="E153" s="87">
        <v>1.3</v>
      </c>
      <c r="F153" s="87">
        <v>0.2</v>
      </c>
      <c r="G153" s="87">
        <v>8.5</v>
      </c>
    </row>
    <row r="154" spans="1:7">
      <c r="A154" s="113"/>
      <c r="B154" s="17" t="s">
        <v>7</v>
      </c>
      <c r="C154" s="10">
        <f>SUM(C145:C153)</f>
        <v>1050</v>
      </c>
      <c r="D154" s="104">
        <f t="shared" ref="D154" si="40">SUM(D145:D153)</f>
        <v>941.64</v>
      </c>
      <c r="E154" s="104">
        <f>SUM(E145:E153)</f>
        <v>34.496200000000002</v>
      </c>
      <c r="F154" s="104">
        <f t="shared" ref="F154:G154" si="41">SUM(F145:F153)</f>
        <v>45.091933333333344</v>
      </c>
      <c r="G154" s="104">
        <f t="shared" si="41"/>
        <v>94.32953333333333</v>
      </c>
    </row>
    <row r="155" spans="1:7">
      <c r="A155" s="101"/>
      <c r="B155" s="101"/>
      <c r="C155" s="101"/>
      <c r="D155" s="101"/>
      <c r="E155" s="101"/>
      <c r="F155" s="101"/>
      <c r="G155" s="101"/>
    </row>
    <row r="156" spans="1:7">
      <c r="A156" s="4" t="s">
        <v>143</v>
      </c>
      <c r="B156" s="2" t="s">
        <v>49</v>
      </c>
      <c r="C156" s="3">
        <v>80</v>
      </c>
      <c r="D156" s="87">
        <v>177</v>
      </c>
      <c r="E156" s="87">
        <v>10.050000000000001</v>
      </c>
      <c r="F156" s="87">
        <v>6.13</v>
      </c>
      <c r="G156" s="87">
        <v>18.8</v>
      </c>
    </row>
    <row r="157" spans="1:7">
      <c r="A157" s="4" t="s">
        <v>157</v>
      </c>
      <c r="B157" s="2" t="s">
        <v>50</v>
      </c>
      <c r="C157" s="3">
        <v>200</v>
      </c>
      <c r="D157" s="87">
        <v>62</v>
      </c>
      <c r="E157" s="87">
        <v>0.13</v>
      </c>
      <c r="F157" s="87">
        <v>0.02</v>
      </c>
      <c r="G157" s="87">
        <v>15.2</v>
      </c>
    </row>
    <row r="158" spans="1:7">
      <c r="A158" s="4"/>
      <c r="B158" s="2" t="s">
        <v>115</v>
      </c>
      <c r="C158" s="3">
        <v>20</v>
      </c>
      <c r="D158" s="87">
        <v>83.4</v>
      </c>
      <c r="E158" s="87">
        <v>1.5</v>
      </c>
      <c r="F158" s="87">
        <v>2</v>
      </c>
      <c r="G158" s="87">
        <v>9.5</v>
      </c>
    </row>
    <row r="159" spans="1:7">
      <c r="A159" s="113"/>
      <c r="B159" s="17" t="s">
        <v>7</v>
      </c>
      <c r="C159" s="10">
        <v>300</v>
      </c>
      <c r="D159" s="104">
        <f t="shared" ref="D159" si="42">SUM(D156:D158)</f>
        <v>322.39999999999998</v>
      </c>
      <c r="E159" s="104">
        <f t="shared" ref="E159:G159" si="43">SUM(E156:E158)</f>
        <v>11.680000000000001</v>
      </c>
      <c r="F159" s="104">
        <f t="shared" si="43"/>
        <v>8.1499999999999986</v>
      </c>
      <c r="G159" s="104">
        <f t="shared" si="43"/>
        <v>43.5</v>
      </c>
    </row>
    <row r="160" spans="1:7">
      <c r="A160" s="113"/>
      <c r="B160" s="17" t="s">
        <v>110</v>
      </c>
      <c r="C160" s="17"/>
      <c r="D160" s="104">
        <f t="shared" ref="D160" si="44">D159+D154+D142</f>
        <v>1304.8399999999999</v>
      </c>
      <c r="E160" s="104">
        <f t="shared" ref="E160:G160" si="45">E159+E154+E142</f>
        <v>47.476199999999999</v>
      </c>
      <c r="F160" s="104">
        <f t="shared" si="45"/>
        <v>53.441933333333346</v>
      </c>
      <c r="G160" s="104">
        <f t="shared" si="45"/>
        <v>146.32953333333333</v>
      </c>
    </row>
    <row r="161" spans="1:7">
      <c r="A161" s="101"/>
      <c r="B161" s="101"/>
      <c r="C161" s="101"/>
      <c r="D161" s="101"/>
      <c r="E161" s="101"/>
      <c r="F161" s="101"/>
      <c r="G161" s="101"/>
    </row>
    <row r="162" spans="1:7" ht="14.45" customHeight="1">
      <c r="A162" s="4" t="s">
        <v>122</v>
      </c>
      <c r="B162" s="4" t="s">
        <v>0</v>
      </c>
      <c r="C162" s="4" t="s">
        <v>1</v>
      </c>
      <c r="D162" s="12" t="s">
        <v>2</v>
      </c>
      <c r="E162" s="12" t="s">
        <v>105</v>
      </c>
      <c r="F162" s="12"/>
      <c r="G162" s="12"/>
    </row>
    <row r="163" spans="1:7" ht="25.5">
      <c r="A163" s="4"/>
      <c r="B163" s="4"/>
      <c r="C163" s="4"/>
      <c r="D163" s="12"/>
      <c r="E163" s="12" t="s">
        <v>106</v>
      </c>
      <c r="F163" s="12" t="s">
        <v>107</v>
      </c>
      <c r="G163" s="12" t="s">
        <v>108</v>
      </c>
    </row>
    <row r="164" spans="1:7">
      <c r="A164" s="101"/>
      <c r="B164" s="101"/>
      <c r="C164" s="101"/>
      <c r="D164" s="101"/>
      <c r="E164" s="101"/>
      <c r="F164" s="101"/>
      <c r="G164" s="101"/>
    </row>
    <row r="165" spans="1:7">
      <c r="A165" s="4" t="s">
        <v>156</v>
      </c>
      <c r="B165" s="2" t="s">
        <v>95</v>
      </c>
      <c r="C165" s="3">
        <v>100</v>
      </c>
      <c r="D165" s="87">
        <v>302.8</v>
      </c>
      <c r="E165" s="87">
        <v>7.19</v>
      </c>
      <c r="F165" s="87">
        <v>5.99</v>
      </c>
      <c r="G165" s="87">
        <v>54.34</v>
      </c>
    </row>
    <row r="166" spans="1:7" ht="14.45" customHeight="1">
      <c r="A166" s="4" t="s">
        <v>158</v>
      </c>
      <c r="B166" s="2" t="s">
        <v>96</v>
      </c>
      <c r="C166" s="3">
        <v>150</v>
      </c>
      <c r="D166" s="87">
        <f>144*150/80</f>
        <v>270</v>
      </c>
      <c r="E166" s="87">
        <f>8.82*150/80</f>
        <v>16.537500000000001</v>
      </c>
      <c r="F166" s="87">
        <f>6.07*150/80</f>
        <v>11.38125</v>
      </c>
      <c r="G166" s="87">
        <f>13.61*150/80</f>
        <v>25.518750000000001</v>
      </c>
    </row>
    <row r="167" spans="1:7">
      <c r="A167" s="4" t="s">
        <v>131</v>
      </c>
      <c r="B167" s="5" t="s">
        <v>88</v>
      </c>
      <c r="C167" s="6">
        <v>200</v>
      </c>
      <c r="D167" s="87">
        <f>100</f>
        <v>100</v>
      </c>
      <c r="E167" s="87">
        <f>5.8</f>
        <v>5.8</v>
      </c>
      <c r="F167" s="87">
        <f>5</f>
        <v>5</v>
      </c>
      <c r="G167" s="87">
        <f>8</f>
        <v>8</v>
      </c>
    </row>
    <row r="168" spans="1:7">
      <c r="A168" s="4"/>
      <c r="B168" s="2" t="s">
        <v>5</v>
      </c>
      <c r="C168" s="3">
        <v>30</v>
      </c>
      <c r="D168" s="87">
        <f>94.7*30/40</f>
        <v>71.025000000000006</v>
      </c>
      <c r="E168" s="87">
        <f>3.3*30/40</f>
        <v>2.4750000000000001</v>
      </c>
      <c r="F168" s="87">
        <f>0.2*30/40</f>
        <v>0.15</v>
      </c>
      <c r="G168" s="87">
        <f>20.1*30/40</f>
        <v>15.074999999999999</v>
      </c>
    </row>
    <row r="169" spans="1:7">
      <c r="A169" s="4"/>
      <c r="B169" s="2" t="s">
        <v>6</v>
      </c>
      <c r="C169" s="3">
        <v>20</v>
      </c>
      <c r="D169" s="87">
        <v>40.799999999999997</v>
      </c>
      <c r="E169" s="87">
        <v>1.3</v>
      </c>
      <c r="F169" s="87">
        <v>0.2</v>
      </c>
      <c r="G169" s="87">
        <v>8.5</v>
      </c>
    </row>
    <row r="170" spans="1:7">
      <c r="A170" s="113"/>
      <c r="B170" s="17" t="s">
        <v>7</v>
      </c>
      <c r="C170" s="10">
        <f>SUM(C165:C169)</f>
        <v>500</v>
      </c>
      <c r="D170" s="104">
        <v>590.83000000000004</v>
      </c>
      <c r="E170" s="104">
        <v>30.59</v>
      </c>
      <c r="F170" s="104">
        <v>22.53</v>
      </c>
      <c r="G170" s="104">
        <v>66.13</v>
      </c>
    </row>
    <row r="171" spans="1:7">
      <c r="A171" s="101"/>
      <c r="B171" s="101"/>
      <c r="C171" s="101"/>
      <c r="D171" s="101"/>
      <c r="E171" s="101"/>
      <c r="F171" s="101"/>
      <c r="G171" s="101"/>
    </row>
    <row r="172" spans="1:7">
      <c r="A172" s="101"/>
      <c r="B172" s="101"/>
      <c r="C172" s="101"/>
      <c r="D172" s="101"/>
      <c r="E172" s="101"/>
      <c r="F172" s="101"/>
      <c r="G172" s="101"/>
    </row>
    <row r="173" spans="1:7">
      <c r="A173" s="4" t="s">
        <v>132</v>
      </c>
      <c r="B173" s="2" t="s">
        <v>52</v>
      </c>
      <c r="C173" s="4">
        <v>60</v>
      </c>
      <c r="D173" s="87">
        <f>591*0.06</f>
        <v>35.46</v>
      </c>
      <c r="E173" s="87">
        <f>8.48*0.1</f>
        <v>0.84800000000000009</v>
      </c>
      <c r="F173" s="87">
        <f>50.4*0.06</f>
        <v>3.024</v>
      </c>
      <c r="G173" s="87">
        <f>25.76*0.06</f>
        <v>1.5456000000000001</v>
      </c>
    </row>
    <row r="174" spans="1:7">
      <c r="A174" s="4" t="s">
        <v>159</v>
      </c>
      <c r="B174" s="2" t="s">
        <v>53</v>
      </c>
      <c r="C174" s="3">
        <v>200</v>
      </c>
      <c r="D174" s="87">
        <f>511*0.2</f>
        <v>102.2</v>
      </c>
      <c r="E174" s="87">
        <f>14.23*0.2</f>
        <v>2.8460000000000001</v>
      </c>
      <c r="F174" s="87">
        <f>20.46*0.2</f>
        <v>4.0920000000000005</v>
      </c>
      <c r="G174" s="87">
        <f>56.66*0.2</f>
        <v>11.332000000000001</v>
      </c>
    </row>
    <row r="175" spans="1:7">
      <c r="A175" s="4" t="s">
        <v>160</v>
      </c>
      <c r="B175" s="2" t="s">
        <v>54</v>
      </c>
      <c r="C175" s="3">
        <v>150</v>
      </c>
      <c r="D175" s="87">
        <f>180*150/125</f>
        <v>216</v>
      </c>
      <c r="E175" s="87">
        <f>2.72*150/125</f>
        <v>3.2640000000000002</v>
      </c>
      <c r="F175" s="87">
        <v>11.59</v>
      </c>
      <c r="G175" s="87">
        <f>18.88*150/125</f>
        <v>22.655999999999999</v>
      </c>
    </row>
    <row r="176" spans="1:7">
      <c r="A176" s="4" t="s">
        <v>128</v>
      </c>
      <c r="B176" s="2" t="s">
        <v>109</v>
      </c>
      <c r="C176" s="4">
        <v>115</v>
      </c>
      <c r="D176" s="87">
        <v>165.31</v>
      </c>
      <c r="E176" s="87">
        <v>9.4700000000000006</v>
      </c>
      <c r="F176" s="87">
        <v>8.1</v>
      </c>
      <c r="G176" s="87">
        <v>13.49</v>
      </c>
    </row>
    <row r="177" spans="1:7">
      <c r="A177" s="4" t="s">
        <v>134</v>
      </c>
      <c r="B177" s="5" t="s">
        <v>20</v>
      </c>
      <c r="C177" s="6">
        <v>180</v>
      </c>
      <c r="D177" s="90">
        <f>503*0.2</f>
        <v>100.60000000000001</v>
      </c>
      <c r="E177" s="90">
        <f>15.83*0.2</f>
        <v>3.1660000000000004</v>
      </c>
      <c r="F177" s="90">
        <f>13.39*0.2</f>
        <v>2.6780000000000004</v>
      </c>
      <c r="G177" s="90">
        <f>79.73*0.2</f>
        <v>15.946000000000002</v>
      </c>
    </row>
    <row r="178" spans="1:7">
      <c r="A178" s="4"/>
      <c r="B178" s="2" t="s">
        <v>5</v>
      </c>
      <c r="C178" s="3">
        <v>50</v>
      </c>
      <c r="D178" s="87">
        <v>118.4</v>
      </c>
      <c r="E178" s="87">
        <v>3.8</v>
      </c>
      <c r="F178" s="87">
        <v>0.3</v>
      </c>
      <c r="G178" s="87">
        <v>25.1</v>
      </c>
    </row>
    <row r="179" spans="1:7">
      <c r="A179" s="4"/>
      <c r="B179" s="2" t="s">
        <v>6</v>
      </c>
      <c r="C179" s="3">
        <v>30</v>
      </c>
      <c r="D179" s="87">
        <v>61.2</v>
      </c>
      <c r="E179" s="87">
        <v>2</v>
      </c>
      <c r="F179" s="87">
        <v>0.3</v>
      </c>
      <c r="G179" s="87">
        <v>12.7</v>
      </c>
    </row>
    <row r="180" spans="1:7">
      <c r="A180" s="113"/>
      <c r="B180" s="17" t="s">
        <v>7</v>
      </c>
      <c r="C180" s="16">
        <f>SUM(C173:C179)</f>
        <v>785</v>
      </c>
      <c r="D180" s="104">
        <f>SUM(D173:D179)</f>
        <v>799.17000000000007</v>
      </c>
      <c r="E180" s="104">
        <f>SUM(E173:E179)</f>
        <v>25.394000000000002</v>
      </c>
      <c r="F180" s="104">
        <f>SUM(F173:F179)</f>
        <v>30.084</v>
      </c>
      <c r="G180" s="104">
        <f>SUM(G173:G179)</f>
        <v>102.76960000000001</v>
      </c>
    </row>
    <row r="181" spans="1:7">
      <c r="A181" s="101"/>
      <c r="B181" s="101"/>
      <c r="C181" s="101"/>
      <c r="D181" s="101"/>
      <c r="E181" s="101"/>
      <c r="F181" s="101"/>
      <c r="G181" s="101"/>
    </row>
    <row r="182" spans="1:7">
      <c r="A182" s="4" t="s">
        <v>161</v>
      </c>
      <c r="B182" s="2" t="s">
        <v>55</v>
      </c>
      <c r="C182" s="3">
        <v>150</v>
      </c>
      <c r="D182" s="87">
        <v>210</v>
      </c>
      <c r="E182" s="87">
        <f>2.85*150/105</f>
        <v>4.0714285714285712</v>
      </c>
      <c r="F182" s="87">
        <f>8.35*150/105</f>
        <v>11.928571428571429</v>
      </c>
      <c r="G182" s="87">
        <f>16.59*150/105</f>
        <v>23.7</v>
      </c>
    </row>
    <row r="183" spans="1:7">
      <c r="A183" s="4" t="s">
        <v>162</v>
      </c>
      <c r="B183" s="2" t="s">
        <v>56</v>
      </c>
      <c r="C183" s="3">
        <v>180</v>
      </c>
      <c r="D183" s="87">
        <f>61.9*180/200</f>
        <v>55.71</v>
      </c>
      <c r="E183" s="87">
        <v>0</v>
      </c>
      <c r="F183" s="87">
        <v>0</v>
      </c>
      <c r="G183" s="87">
        <f>15.5*180/200</f>
        <v>13.95</v>
      </c>
    </row>
    <row r="184" spans="1:7">
      <c r="A184" s="4"/>
      <c r="B184" s="2" t="s">
        <v>5</v>
      </c>
      <c r="C184" s="3">
        <v>20</v>
      </c>
      <c r="D184" s="87">
        <v>47.4</v>
      </c>
      <c r="E184" s="87">
        <v>1.5</v>
      </c>
      <c r="F184" s="87">
        <v>0.1</v>
      </c>
      <c r="G184" s="87">
        <v>10</v>
      </c>
    </row>
    <row r="185" spans="1:7">
      <c r="A185" s="113"/>
      <c r="B185" s="17" t="s">
        <v>7</v>
      </c>
      <c r="C185" s="10">
        <f>SUM(C182:C184)</f>
        <v>350</v>
      </c>
      <c r="D185" s="104">
        <f t="shared" ref="D185" si="46">SUM(D182:D184)</f>
        <v>313.10999999999996</v>
      </c>
      <c r="E185" s="104">
        <f t="shared" ref="E185:G185" si="47">SUM(E182:E184)</f>
        <v>5.5714285714285712</v>
      </c>
      <c r="F185" s="104">
        <f t="shared" si="47"/>
        <v>12.028571428571428</v>
      </c>
      <c r="G185" s="104">
        <f t="shared" si="47"/>
        <v>47.65</v>
      </c>
    </row>
    <row r="186" spans="1:7">
      <c r="A186" s="112"/>
      <c r="B186" s="59"/>
      <c r="C186" s="60"/>
      <c r="D186" s="105"/>
      <c r="E186" s="105"/>
      <c r="F186" s="105"/>
      <c r="G186" s="105"/>
    </row>
    <row r="187" spans="1:7">
      <c r="A187" s="113"/>
      <c r="B187" s="17" t="s">
        <v>110</v>
      </c>
      <c r="C187" s="17"/>
      <c r="D187" s="104">
        <f t="shared" ref="D187" si="48">D185+D180+D170</f>
        <v>1703.1100000000001</v>
      </c>
      <c r="E187" s="104">
        <f>E185+E180+E168</f>
        <v>33.440428571428576</v>
      </c>
      <c r="F187" s="104">
        <f t="shared" ref="F187:G187" si="49">F185+F180+F170</f>
        <v>64.642571428571429</v>
      </c>
      <c r="G187" s="104">
        <f t="shared" si="49"/>
        <v>216.5496</v>
      </c>
    </row>
    <row r="188" spans="1:7">
      <c r="A188" s="101"/>
      <c r="B188" s="101"/>
      <c r="C188" s="101"/>
      <c r="D188" s="101"/>
      <c r="E188" s="101"/>
      <c r="F188" s="101"/>
      <c r="G188" s="101"/>
    </row>
    <row r="189" spans="1:7" ht="14.45" customHeight="1">
      <c r="A189" s="4" t="s">
        <v>122</v>
      </c>
      <c r="B189" s="4" t="s">
        <v>0</v>
      </c>
      <c r="C189" s="4" t="s">
        <v>1</v>
      </c>
      <c r="D189" s="12" t="s">
        <v>2</v>
      </c>
      <c r="E189" s="12" t="s">
        <v>105</v>
      </c>
      <c r="F189" s="12"/>
      <c r="G189" s="12"/>
    </row>
    <row r="190" spans="1:7" ht="25.5">
      <c r="A190" s="4"/>
      <c r="B190" s="4"/>
      <c r="C190" s="4"/>
      <c r="D190" s="12"/>
      <c r="E190" s="12" t="s">
        <v>106</v>
      </c>
      <c r="F190" s="12" t="s">
        <v>107</v>
      </c>
      <c r="G190" s="12" t="s">
        <v>108</v>
      </c>
    </row>
    <row r="191" spans="1:7">
      <c r="A191" s="101"/>
      <c r="B191" s="101"/>
      <c r="C191" s="101"/>
      <c r="D191" s="101"/>
      <c r="E191" s="101"/>
      <c r="F191" s="101"/>
      <c r="G191" s="101"/>
    </row>
    <row r="192" spans="1:7">
      <c r="A192" s="4" t="s">
        <v>163</v>
      </c>
      <c r="B192" s="2" t="s">
        <v>57</v>
      </c>
      <c r="C192" s="3">
        <v>60</v>
      </c>
      <c r="D192" s="87">
        <f>953*0.06</f>
        <v>57.18</v>
      </c>
      <c r="E192" s="87">
        <f>12.57*0.06</f>
        <v>0.75419999999999998</v>
      </c>
      <c r="F192" s="87">
        <f>1.33*0.06</f>
        <v>7.9799999999999996E-2</v>
      </c>
      <c r="G192" s="87">
        <f>222.75*0.06</f>
        <v>13.365</v>
      </c>
    </row>
    <row r="193" spans="1:7">
      <c r="A193" s="4" t="s">
        <v>153</v>
      </c>
      <c r="B193" s="2" t="s">
        <v>44</v>
      </c>
      <c r="C193" s="3">
        <v>150</v>
      </c>
      <c r="D193" s="87">
        <f>915*0.15</f>
        <v>137.25</v>
      </c>
      <c r="E193" s="87">
        <f>20.43*0.15</f>
        <v>3.0644999999999998</v>
      </c>
      <c r="F193" s="87">
        <f>32.01*0.15</f>
        <v>4.8014999999999999</v>
      </c>
      <c r="G193" s="87">
        <f>136.26*0.15</f>
        <v>20.438999999999997</v>
      </c>
    </row>
    <row r="194" spans="1:7">
      <c r="A194" s="4" t="s">
        <v>164</v>
      </c>
      <c r="B194" s="2" t="s">
        <v>58</v>
      </c>
      <c r="C194" s="3">
        <v>120</v>
      </c>
      <c r="D194" s="87">
        <f>145.9</f>
        <v>145.9</v>
      </c>
      <c r="E194" s="87">
        <f>18.7</f>
        <v>18.7</v>
      </c>
      <c r="F194" s="87">
        <f>6</f>
        <v>6</v>
      </c>
      <c r="G194" s="87">
        <f>4.2</f>
        <v>4.2</v>
      </c>
    </row>
    <row r="195" spans="1:7">
      <c r="A195" s="4" t="s">
        <v>152</v>
      </c>
      <c r="B195" s="2" t="s">
        <v>43</v>
      </c>
      <c r="C195" s="3">
        <v>180</v>
      </c>
      <c r="D195" s="87">
        <f>593*0.18</f>
        <v>106.74</v>
      </c>
      <c r="E195" s="87">
        <f>20.39*0.18</f>
        <v>3.6701999999999999</v>
      </c>
      <c r="F195" s="87">
        <f>17.72*0.18</f>
        <v>3.1895999999999995</v>
      </c>
      <c r="G195" s="87">
        <f>87.89*0.18</f>
        <v>15.8202</v>
      </c>
    </row>
    <row r="196" spans="1:7">
      <c r="A196" s="4"/>
      <c r="B196" s="2" t="s">
        <v>5</v>
      </c>
      <c r="C196" s="3">
        <v>20</v>
      </c>
      <c r="D196" s="87">
        <v>47.4</v>
      </c>
      <c r="E196" s="87">
        <v>1.5</v>
      </c>
      <c r="F196" s="87">
        <v>0.1</v>
      </c>
      <c r="G196" s="87">
        <v>10</v>
      </c>
    </row>
    <row r="197" spans="1:7">
      <c r="A197" s="4"/>
      <c r="B197" s="2" t="s">
        <v>6</v>
      </c>
      <c r="C197" s="3">
        <v>20</v>
      </c>
      <c r="D197" s="87">
        <v>40.799999999999997</v>
      </c>
      <c r="E197" s="87">
        <v>1.3</v>
      </c>
      <c r="F197" s="87">
        <v>0.2</v>
      </c>
      <c r="G197" s="87">
        <v>8.5</v>
      </c>
    </row>
    <row r="198" spans="1:7">
      <c r="A198" s="113"/>
      <c r="B198" s="17" t="s">
        <v>7</v>
      </c>
      <c r="C198" s="10">
        <f>SUM(C192:C197)</f>
        <v>550</v>
      </c>
      <c r="D198" s="104">
        <f t="shared" ref="D198" si="50">SUM(D192:D197)</f>
        <v>535.27</v>
      </c>
      <c r="E198" s="104">
        <f t="shared" ref="E198:G198" si="51">SUM(E192:E197)</f>
        <v>28.988900000000001</v>
      </c>
      <c r="F198" s="104">
        <f t="shared" si="51"/>
        <v>14.370899999999997</v>
      </c>
      <c r="G198" s="104">
        <f t="shared" si="51"/>
        <v>72.32419999999999</v>
      </c>
    </row>
    <row r="199" spans="1:7">
      <c r="A199" s="101"/>
      <c r="B199" s="101"/>
      <c r="C199" s="101"/>
      <c r="D199" s="101"/>
      <c r="E199" s="101"/>
      <c r="F199" s="101"/>
      <c r="G199" s="101"/>
    </row>
    <row r="200" spans="1:7">
      <c r="A200" s="4" t="s">
        <v>165</v>
      </c>
      <c r="B200" s="2" t="s">
        <v>59</v>
      </c>
      <c r="C200" s="4">
        <v>60</v>
      </c>
      <c r="D200" s="87">
        <f>1251*0.06</f>
        <v>75.06</v>
      </c>
      <c r="E200" s="87">
        <f>14.03*0.06</f>
        <v>0.84179999999999988</v>
      </c>
      <c r="F200" s="87">
        <f>100.4*0.06</f>
        <v>6.024</v>
      </c>
      <c r="G200" s="87">
        <f>72.9*0.06</f>
        <v>4.3740000000000006</v>
      </c>
    </row>
    <row r="201" spans="1:7" ht="14.45" customHeight="1">
      <c r="A201" s="4" t="s">
        <v>166</v>
      </c>
      <c r="B201" s="2" t="s">
        <v>60</v>
      </c>
      <c r="C201" s="3">
        <v>200</v>
      </c>
      <c r="D201" s="87">
        <f>473*0.2</f>
        <v>94.600000000000009</v>
      </c>
      <c r="E201" s="87">
        <f>10.75*0.2</f>
        <v>2.15</v>
      </c>
      <c r="F201" s="87">
        <f>11.35*0.2</f>
        <v>2.27</v>
      </c>
      <c r="G201" s="87">
        <f>69.82*0.2</f>
        <v>13.963999999999999</v>
      </c>
    </row>
    <row r="202" spans="1:7">
      <c r="A202" s="4" t="s">
        <v>167</v>
      </c>
      <c r="B202" s="2" t="s">
        <v>61</v>
      </c>
      <c r="C202" s="3">
        <v>150</v>
      </c>
      <c r="D202" s="87">
        <f>884*0.15</f>
        <v>132.6</v>
      </c>
      <c r="E202" s="87">
        <f>17.76*0.15</f>
        <v>2.6640000000000001</v>
      </c>
      <c r="F202" s="87">
        <f>53.38*0.15</f>
        <v>8.0069999999999997</v>
      </c>
      <c r="G202" s="87">
        <f>83.13*0.15</f>
        <v>12.469499999999998</v>
      </c>
    </row>
    <row r="203" spans="1:7" ht="14.45" customHeight="1">
      <c r="A203" s="4">
        <v>296</v>
      </c>
      <c r="B203" s="2" t="s">
        <v>97</v>
      </c>
      <c r="C203" s="3">
        <v>110</v>
      </c>
      <c r="D203" s="87">
        <f>181*110/100</f>
        <v>199.1</v>
      </c>
      <c r="E203" s="87">
        <v>9.4499999999999993</v>
      </c>
      <c r="F203" s="87">
        <v>9.42</v>
      </c>
      <c r="G203" s="87">
        <f>9.73*110/100</f>
        <v>10.702999999999999</v>
      </c>
    </row>
    <row r="204" spans="1:7">
      <c r="A204" s="4" t="s">
        <v>157</v>
      </c>
      <c r="B204" s="2" t="s">
        <v>50</v>
      </c>
      <c r="C204" s="3">
        <v>180</v>
      </c>
      <c r="D204" s="87">
        <f>62*180/200</f>
        <v>55.8</v>
      </c>
      <c r="E204" s="87">
        <f>0.13*180/200</f>
        <v>0.11700000000000001</v>
      </c>
      <c r="F204" s="87">
        <f>0.02*180/200</f>
        <v>1.8000000000000002E-2</v>
      </c>
      <c r="G204" s="87">
        <f>16.2*180/200</f>
        <v>14.58</v>
      </c>
    </row>
    <row r="205" spans="1:7">
      <c r="A205" s="112" t="s">
        <v>136</v>
      </c>
      <c r="B205" s="59" t="s">
        <v>25</v>
      </c>
      <c r="C205" s="60">
        <v>200</v>
      </c>
      <c r="D205" s="105">
        <v>52</v>
      </c>
      <c r="E205" s="105">
        <v>2.8</v>
      </c>
      <c r="F205" s="105">
        <v>2.5</v>
      </c>
      <c r="G205" s="105">
        <v>4.7</v>
      </c>
    </row>
    <row r="206" spans="1:7">
      <c r="A206" s="4" t="s">
        <v>125</v>
      </c>
      <c r="B206" s="2" t="s">
        <v>82</v>
      </c>
      <c r="C206" s="3">
        <v>120</v>
      </c>
      <c r="D206" s="87">
        <v>56.4</v>
      </c>
      <c r="E206" s="87">
        <v>0.5</v>
      </c>
      <c r="F206" s="87">
        <v>0.5</v>
      </c>
      <c r="G206" s="87">
        <v>11.8</v>
      </c>
    </row>
    <row r="207" spans="1:7">
      <c r="A207" s="4"/>
      <c r="B207" s="2" t="s">
        <v>5</v>
      </c>
      <c r="C207" s="3">
        <v>30</v>
      </c>
      <c r="D207" s="87">
        <v>71</v>
      </c>
      <c r="E207" s="87">
        <v>2.2999999999999998</v>
      </c>
      <c r="F207" s="87">
        <v>0.2</v>
      </c>
      <c r="G207" s="87">
        <v>15.1</v>
      </c>
    </row>
    <row r="208" spans="1:7">
      <c r="A208" s="4"/>
      <c r="B208" s="2" t="s">
        <v>6</v>
      </c>
      <c r="C208" s="3">
        <v>30</v>
      </c>
      <c r="D208" s="87">
        <v>61.2</v>
      </c>
      <c r="E208" s="87">
        <v>2</v>
      </c>
      <c r="F208" s="87">
        <v>0.3</v>
      </c>
      <c r="G208" s="87">
        <v>12.7</v>
      </c>
    </row>
    <row r="209" spans="1:7">
      <c r="A209" s="113"/>
      <c r="B209" s="17" t="s">
        <v>7</v>
      </c>
      <c r="C209" s="10">
        <f>SUM(C200:C208)</f>
        <v>1080</v>
      </c>
      <c r="D209" s="104">
        <f>SUM(D200:D208)</f>
        <v>797.76</v>
      </c>
      <c r="E209" s="104">
        <f>SUM(E200:E208)</f>
        <v>22.822800000000001</v>
      </c>
      <c r="F209" s="104">
        <f>SUM(F200:F208)</f>
        <v>29.239000000000004</v>
      </c>
      <c r="G209" s="104">
        <f>SUM(G200:G208)</f>
        <v>100.39049999999999</v>
      </c>
    </row>
    <row r="210" spans="1:7">
      <c r="A210" s="101"/>
      <c r="B210" s="101"/>
      <c r="C210" s="101"/>
      <c r="D210" s="101"/>
      <c r="E210" s="101"/>
      <c r="F210" s="101"/>
      <c r="G210" s="101"/>
    </row>
    <row r="211" spans="1:7" ht="14.45" customHeight="1">
      <c r="A211" s="4">
        <v>185</v>
      </c>
      <c r="B211" s="2" t="s">
        <v>98</v>
      </c>
      <c r="C211" s="3">
        <v>150</v>
      </c>
      <c r="D211" s="87">
        <v>225.8</v>
      </c>
      <c r="E211" s="87">
        <v>9.98</v>
      </c>
      <c r="F211" s="87">
        <v>7.5</v>
      </c>
      <c r="G211" s="87">
        <v>31.6</v>
      </c>
    </row>
    <row r="212" spans="1:7">
      <c r="A212" s="4" t="s">
        <v>129</v>
      </c>
      <c r="B212" s="2" t="s">
        <v>30</v>
      </c>
      <c r="C212" s="3">
        <v>180</v>
      </c>
      <c r="D212" s="87">
        <f>83.4*180/200</f>
        <v>75.06</v>
      </c>
      <c r="E212" s="87">
        <f>5*0.18</f>
        <v>0.89999999999999991</v>
      </c>
      <c r="F212" s="87">
        <f>0.2*180/200</f>
        <v>0.18</v>
      </c>
      <c r="G212" s="87">
        <f>19.6*180/200</f>
        <v>17.64</v>
      </c>
    </row>
    <row r="213" spans="1:7">
      <c r="A213" s="4"/>
      <c r="B213" s="2" t="s">
        <v>5</v>
      </c>
      <c r="C213" s="3">
        <v>20</v>
      </c>
      <c r="D213" s="87">
        <v>47.4</v>
      </c>
      <c r="E213" s="87">
        <v>1.5</v>
      </c>
      <c r="F213" s="87">
        <v>0.1</v>
      </c>
      <c r="G213" s="87">
        <v>10</v>
      </c>
    </row>
    <row r="214" spans="1:7">
      <c r="A214" s="113"/>
      <c r="B214" s="17" t="s">
        <v>7</v>
      </c>
      <c r="C214" s="10">
        <f>SUM(C211:C213)</f>
        <v>350</v>
      </c>
      <c r="D214" s="104">
        <v>376.6</v>
      </c>
      <c r="E214" s="104">
        <f>SUM(E210:E213)</f>
        <v>12.38</v>
      </c>
      <c r="F214" s="104">
        <f>SUM(F210:F213)</f>
        <v>7.7799999999999994</v>
      </c>
      <c r="G214" s="104">
        <v>61.2</v>
      </c>
    </row>
    <row r="215" spans="1:7">
      <c r="A215" s="113"/>
      <c r="B215" s="17" t="s">
        <v>110</v>
      </c>
      <c r="C215" s="17"/>
      <c r="D215" s="104">
        <f t="shared" ref="D215" si="52">D214+D209+D198</f>
        <v>1709.63</v>
      </c>
      <c r="E215" s="104">
        <f>E214+F209+E198</f>
        <v>70.607900000000001</v>
      </c>
      <c r="F215" s="104">
        <f t="shared" ref="F215:G215" si="53">F214+F209+F198</f>
        <v>51.389900000000004</v>
      </c>
      <c r="G215" s="104">
        <f t="shared" si="53"/>
        <v>233.91469999999998</v>
      </c>
    </row>
    <row r="216" spans="1:7">
      <c r="A216" s="101"/>
      <c r="B216" s="101"/>
      <c r="C216" s="101"/>
      <c r="D216" s="101"/>
      <c r="E216" s="101"/>
      <c r="F216" s="101"/>
      <c r="G216" s="101"/>
    </row>
    <row r="217" spans="1:7" ht="14.45" customHeight="1">
      <c r="A217" s="4" t="s">
        <v>122</v>
      </c>
      <c r="B217" s="4" t="s">
        <v>0</v>
      </c>
      <c r="C217" s="4" t="s">
        <v>1</v>
      </c>
      <c r="D217" s="12" t="s">
        <v>2</v>
      </c>
      <c r="E217" s="12" t="s">
        <v>105</v>
      </c>
      <c r="F217" s="12"/>
      <c r="G217" s="12"/>
    </row>
    <row r="218" spans="1:7" ht="25.5">
      <c r="A218" s="4"/>
      <c r="B218" s="4"/>
      <c r="C218" s="4"/>
      <c r="D218" s="12"/>
      <c r="E218" s="12" t="s">
        <v>106</v>
      </c>
      <c r="F218" s="12" t="s">
        <v>107</v>
      </c>
      <c r="G218" s="12" t="s">
        <v>108</v>
      </c>
    </row>
    <row r="219" spans="1:7">
      <c r="A219" s="101"/>
      <c r="B219" s="101"/>
      <c r="C219" s="101"/>
      <c r="D219" s="101"/>
      <c r="E219" s="101"/>
      <c r="F219" s="101"/>
      <c r="G219" s="101"/>
    </row>
    <row r="220" spans="1:7">
      <c r="A220" s="4">
        <v>372</v>
      </c>
      <c r="B220" s="2" t="s">
        <v>99</v>
      </c>
      <c r="C220" s="3">
        <v>100</v>
      </c>
      <c r="D220" s="87">
        <f>107*100/75</f>
        <v>142.66666666666666</v>
      </c>
      <c r="E220" s="87">
        <f>0.27*100/75</f>
        <v>0.36</v>
      </c>
      <c r="F220" s="87">
        <f>0.28*100/75</f>
        <v>0.37333333333333341</v>
      </c>
      <c r="G220" s="87">
        <f>43.38*100/75</f>
        <v>57.84</v>
      </c>
    </row>
    <row r="221" spans="1:7" ht="14.45" customHeight="1">
      <c r="A221" s="4" t="s">
        <v>168</v>
      </c>
      <c r="B221" s="2" t="s">
        <v>62</v>
      </c>
      <c r="C221" s="3">
        <v>150</v>
      </c>
      <c r="D221" s="87">
        <f>186*150/135</f>
        <v>206.66666666666666</v>
      </c>
      <c r="E221" s="87">
        <f>7.32*150/135</f>
        <v>8.1333333333333329</v>
      </c>
      <c r="F221" s="87">
        <f>5.5*150/135</f>
        <v>6.1111111111111107</v>
      </c>
      <c r="G221" s="87">
        <f>26.52*150/135</f>
        <v>29.466666666666665</v>
      </c>
    </row>
    <row r="222" spans="1:7">
      <c r="A222" s="4">
        <v>2</v>
      </c>
      <c r="B222" s="5" t="s">
        <v>100</v>
      </c>
      <c r="C222" s="3">
        <v>55</v>
      </c>
      <c r="D222" s="87">
        <v>156</v>
      </c>
      <c r="E222" s="87">
        <v>2.4</v>
      </c>
      <c r="F222" s="87">
        <v>3.87</v>
      </c>
      <c r="G222" s="87">
        <v>27.83</v>
      </c>
    </row>
    <row r="223" spans="1:7">
      <c r="A223" s="4" t="s">
        <v>134</v>
      </c>
      <c r="B223" s="5" t="s">
        <v>48</v>
      </c>
      <c r="C223" s="3">
        <v>180</v>
      </c>
      <c r="D223" s="90">
        <f>503*0.18</f>
        <v>90.539999999999992</v>
      </c>
      <c r="E223" s="90">
        <f>15.83*0.18</f>
        <v>2.8493999999999997</v>
      </c>
      <c r="F223" s="90">
        <f>13.39*0.18</f>
        <v>2.4102000000000001</v>
      </c>
      <c r="G223" s="90">
        <f>79.73*0.18</f>
        <v>14.3514</v>
      </c>
    </row>
    <row r="224" spans="1:7">
      <c r="A224" s="4"/>
      <c r="B224" s="2"/>
      <c r="C224" s="4"/>
      <c r="D224" s="87"/>
      <c r="E224" s="87"/>
      <c r="F224" s="87"/>
      <c r="G224" s="87"/>
    </row>
    <row r="225" spans="1:7">
      <c r="A225" s="4"/>
      <c r="B225" s="2" t="s">
        <v>6</v>
      </c>
      <c r="C225" s="3">
        <v>20</v>
      </c>
      <c r="D225" s="87">
        <v>40.799999999999997</v>
      </c>
      <c r="E225" s="87">
        <v>1.3</v>
      </c>
      <c r="F225" s="87">
        <v>0.2</v>
      </c>
      <c r="G225" s="87">
        <v>8.5</v>
      </c>
    </row>
    <row r="226" spans="1:7">
      <c r="A226" s="113"/>
      <c r="B226" s="88" t="s">
        <v>7</v>
      </c>
      <c r="C226" s="89">
        <f>SUM(C220:C225)</f>
        <v>505</v>
      </c>
      <c r="D226" s="104">
        <f t="shared" ref="D226" si="54">SUM(D219:D225)</f>
        <v>636.67333333333329</v>
      </c>
      <c r="E226" s="104">
        <f t="shared" ref="E226:G226" si="55">SUM(E219:E225)</f>
        <v>15.042733333333333</v>
      </c>
      <c r="F226" s="104">
        <f t="shared" si="55"/>
        <v>12.964644444444442</v>
      </c>
      <c r="G226" s="104">
        <f t="shared" si="55"/>
        <v>137.98806666666667</v>
      </c>
    </row>
    <row r="227" spans="1:7">
      <c r="A227" s="101"/>
      <c r="B227" s="101"/>
      <c r="C227" s="101"/>
      <c r="D227" s="101"/>
      <c r="E227" s="101"/>
      <c r="F227" s="101"/>
      <c r="G227" s="101"/>
    </row>
    <row r="228" spans="1:7">
      <c r="A228" s="112" t="s">
        <v>169</v>
      </c>
      <c r="B228" s="59" t="s">
        <v>63</v>
      </c>
      <c r="C228" s="60">
        <v>60</v>
      </c>
      <c r="D228" s="105">
        <f>901*0.06</f>
        <v>54.059999999999995</v>
      </c>
      <c r="E228" s="105">
        <f>1.22*0.06</f>
        <v>7.3200000000000001E-2</v>
      </c>
      <c r="F228" s="105">
        <f>51.04*0.06</f>
        <v>3.0623999999999998</v>
      </c>
      <c r="G228" s="105">
        <f>111.65*0.06</f>
        <v>6.6989999999999998</v>
      </c>
    </row>
    <row r="229" spans="1:7">
      <c r="A229" s="4">
        <v>99</v>
      </c>
      <c r="B229" s="5" t="s">
        <v>45</v>
      </c>
      <c r="C229" s="6">
        <v>200</v>
      </c>
      <c r="D229" s="87">
        <f>381*0.2</f>
        <v>76.2</v>
      </c>
      <c r="E229" s="87">
        <f>6.35*0.2</f>
        <v>1.27</v>
      </c>
      <c r="F229" s="87">
        <f>19.35*0.2</f>
        <v>3.8700000000000006</v>
      </c>
      <c r="G229" s="87">
        <f>36.56*0.2</f>
        <v>7.3120000000000012</v>
      </c>
    </row>
    <row r="230" spans="1:7">
      <c r="A230" s="4" t="s">
        <v>170</v>
      </c>
      <c r="B230" s="2" t="s">
        <v>64</v>
      </c>
      <c r="C230" s="3">
        <v>150</v>
      </c>
      <c r="D230" s="87">
        <f>1625*0.15</f>
        <v>243.75</v>
      </c>
      <c r="E230" s="87">
        <f>57.32*0.15</f>
        <v>8.597999999999999</v>
      </c>
      <c r="F230" s="87">
        <v>5.09</v>
      </c>
      <c r="G230" s="87">
        <f>257.61*0.15</f>
        <v>38.641500000000001</v>
      </c>
    </row>
    <row r="231" spans="1:7">
      <c r="A231" s="4" t="s">
        <v>171</v>
      </c>
      <c r="B231" s="2" t="s">
        <v>101</v>
      </c>
      <c r="C231" s="3">
        <v>120</v>
      </c>
      <c r="D231" s="87">
        <v>243.27</v>
      </c>
      <c r="E231" s="87">
        <v>7.59</v>
      </c>
      <c r="F231" s="87">
        <v>9.57</v>
      </c>
      <c r="G231" s="87">
        <v>12.66</v>
      </c>
    </row>
    <row r="232" spans="1:7">
      <c r="A232" s="4" t="s">
        <v>131</v>
      </c>
      <c r="B232" s="2" t="s">
        <v>83</v>
      </c>
      <c r="C232" s="3">
        <v>180</v>
      </c>
      <c r="D232" s="87">
        <f>101*180/200</f>
        <v>90.9</v>
      </c>
      <c r="E232" s="87">
        <f>5.8*180/200</f>
        <v>5.22</v>
      </c>
      <c r="F232" s="87">
        <f>5*180/200</f>
        <v>4.5</v>
      </c>
      <c r="G232" s="87">
        <f>8.2*180/200</f>
        <v>7.379999999999999</v>
      </c>
    </row>
    <row r="233" spans="1:7">
      <c r="A233" s="4"/>
      <c r="B233" s="2" t="s">
        <v>5</v>
      </c>
      <c r="C233" s="3">
        <v>50</v>
      </c>
      <c r="D233" s="87">
        <v>118.4</v>
      </c>
      <c r="E233" s="87">
        <v>3.8</v>
      </c>
      <c r="F233" s="87">
        <v>0.3</v>
      </c>
      <c r="G233" s="87">
        <v>25.1</v>
      </c>
    </row>
    <row r="234" spans="1:7">
      <c r="A234" s="4"/>
      <c r="B234" s="2" t="s">
        <v>6</v>
      </c>
      <c r="C234" s="3">
        <v>30</v>
      </c>
      <c r="D234" s="87">
        <v>61.2</v>
      </c>
      <c r="E234" s="87">
        <v>2</v>
      </c>
      <c r="F234" s="87">
        <v>0.3</v>
      </c>
      <c r="G234" s="87">
        <v>12.7</v>
      </c>
    </row>
    <row r="235" spans="1:7">
      <c r="A235" s="113"/>
      <c r="B235" s="17" t="s">
        <v>7</v>
      </c>
      <c r="C235" s="10">
        <f>SUM(C228:C234)</f>
        <v>790</v>
      </c>
      <c r="D235" s="104">
        <f t="shared" ref="D235" si="56">SUM(D228:D234)</f>
        <v>887.78</v>
      </c>
      <c r="E235" s="104">
        <f t="shared" ref="E235:G235" si="57">SUM(E228:E234)</f>
        <v>28.551199999999998</v>
      </c>
      <c r="F235" s="104">
        <f t="shared" si="57"/>
        <v>26.692400000000003</v>
      </c>
      <c r="G235" s="104">
        <f t="shared" si="57"/>
        <v>110.49249999999999</v>
      </c>
    </row>
    <row r="236" spans="1:7">
      <c r="A236" s="101"/>
      <c r="B236" s="101"/>
      <c r="C236" s="101"/>
      <c r="D236" s="101"/>
      <c r="E236" s="101"/>
      <c r="F236" s="101"/>
      <c r="G236" s="101"/>
    </row>
    <row r="237" spans="1:7" ht="14.45" customHeight="1">
      <c r="A237" s="4" t="s">
        <v>172</v>
      </c>
      <c r="B237" s="2" t="s">
        <v>65</v>
      </c>
      <c r="C237" s="3">
        <v>170</v>
      </c>
      <c r="D237" s="87">
        <v>151.4</v>
      </c>
      <c r="E237" s="87">
        <v>7.5</v>
      </c>
      <c r="F237" s="87">
        <v>9.8000000000000007</v>
      </c>
      <c r="G237" s="87">
        <v>12.1</v>
      </c>
    </row>
    <row r="238" spans="1:7">
      <c r="A238" s="4" t="s">
        <v>154</v>
      </c>
      <c r="B238" s="2" t="s">
        <v>66</v>
      </c>
      <c r="C238" s="3">
        <v>180</v>
      </c>
      <c r="D238" s="87">
        <f>146.6*180/200</f>
        <v>131.94</v>
      </c>
      <c r="E238" s="87">
        <f>0.3*180/200</f>
        <v>0.27</v>
      </c>
      <c r="F238" s="87">
        <v>0</v>
      </c>
      <c r="G238" s="87">
        <f>36.2*180/200</f>
        <v>32.580000000000005</v>
      </c>
    </row>
    <row r="239" spans="1:7">
      <c r="A239" s="4"/>
      <c r="B239" s="2" t="s">
        <v>5</v>
      </c>
      <c r="C239" s="3">
        <v>20</v>
      </c>
      <c r="D239" s="87">
        <v>47.4</v>
      </c>
      <c r="E239" s="87">
        <v>1.5</v>
      </c>
      <c r="F239" s="87">
        <v>0.1</v>
      </c>
      <c r="G239" s="87">
        <v>10</v>
      </c>
    </row>
    <row r="240" spans="1:7">
      <c r="A240" s="113"/>
      <c r="B240" s="17" t="s">
        <v>7</v>
      </c>
      <c r="C240" s="10">
        <f>SUM(C237:C239)</f>
        <v>370</v>
      </c>
      <c r="D240" s="104">
        <v>375.4</v>
      </c>
      <c r="E240" s="104">
        <v>11.3</v>
      </c>
      <c r="F240" s="104">
        <v>9.9</v>
      </c>
      <c r="G240" s="104">
        <v>58.3</v>
      </c>
    </row>
    <row r="241" spans="1:7">
      <c r="A241" s="113"/>
      <c r="B241" s="17" t="s">
        <v>110</v>
      </c>
      <c r="C241" s="17"/>
      <c r="D241" s="104">
        <f t="shared" ref="D241" si="58">D240+D235+D226</f>
        <v>1899.853333333333</v>
      </c>
      <c r="E241" s="104">
        <f t="shared" ref="E241:G241" si="59">E240+E235+E226</f>
        <v>54.893933333333329</v>
      </c>
      <c r="F241" s="104">
        <f t="shared" si="59"/>
        <v>49.557044444444443</v>
      </c>
      <c r="G241" s="104">
        <f t="shared" si="59"/>
        <v>306.78056666666669</v>
      </c>
    </row>
    <row r="242" spans="1:7">
      <c r="A242" s="101"/>
      <c r="B242" s="101"/>
      <c r="C242" s="101"/>
      <c r="D242" s="101"/>
      <c r="E242" s="101"/>
      <c r="F242" s="101"/>
      <c r="G242" s="101"/>
    </row>
    <row r="243" spans="1:7" ht="14.45" customHeight="1">
      <c r="A243" s="4" t="s">
        <v>122</v>
      </c>
      <c r="B243" s="4" t="s">
        <v>0</v>
      </c>
      <c r="C243" s="4" t="s">
        <v>1</v>
      </c>
      <c r="D243" s="12" t="s">
        <v>2</v>
      </c>
      <c r="E243" s="12" t="s">
        <v>105</v>
      </c>
      <c r="F243" s="12"/>
      <c r="G243" s="12"/>
    </row>
    <row r="244" spans="1:7" ht="25.5">
      <c r="A244" s="4"/>
      <c r="B244" s="4"/>
      <c r="C244" s="4"/>
      <c r="D244" s="12"/>
      <c r="E244" s="12" t="s">
        <v>106</v>
      </c>
      <c r="F244" s="12" t="s">
        <v>107</v>
      </c>
      <c r="G244" s="12" t="s">
        <v>108</v>
      </c>
    </row>
    <row r="245" spans="1:7">
      <c r="A245" s="101"/>
      <c r="B245" s="101"/>
      <c r="C245" s="101"/>
      <c r="D245" s="101"/>
      <c r="E245" s="101"/>
      <c r="F245" s="101"/>
      <c r="G245" s="101"/>
    </row>
    <row r="246" spans="1:7">
      <c r="A246" s="4" t="s">
        <v>149</v>
      </c>
      <c r="B246" s="2" t="s">
        <v>41</v>
      </c>
      <c r="C246" s="3">
        <v>60</v>
      </c>
      <c r="D246" s="87">
        <f>1340*0.06</f>
        <v>80.399999999999991</v>
      </c>
      <c r="E246" s="87">
        <f>18.52*0.06</f>
        <v>1.1112</v>
      </c>
      <c r="F246" s="87">
        <f>60.42*0.06</f>
        <v>3.6252</v>
      </c>
      <c r="G246" s="87">
        <f>180.63*0.06</f>
        <v>10.8378</v>
      </c>
    </row>
    <row r="247" spans="1:7">
      <c r="A247" s="4">
        <v>124</v>
      </c>
      <c r="B247" s="2" t="s">
        <v>102</v>
      </c>
      <c r="C247" s="3">
        <v>160</v>
      </c>
      <c r="D247" s="87">
        <f>654*0.16</f>
        <v>104.64</v>
      </c>
      <c r="E247" s="87">
        <f>22.33*0.16</f>
        <v>3.5728</v>
      </c>
      <c r="F247" s="87">
        <f>26.53*0.16</f>
        <v>4.2448000000000006</v>
      </c>
      <c r="G247" s="87">
        <f>68.08*0.16</f>
        <v>10.892799999999999</v>
      </c>
    </row>
    <row r="248" spans="1:7">
      <c r="A248" s="4">
        <v>1</v>
      </c>
      <c r="B248" s="2" t="s">
        <v>103</v>
      </c>
      <c r="C248" s="3">
        <v>45</v>
      </c>
      <c r="D248" s="87">
        <f>138*45/40</f>
        <v>155.25</v>
      </c>
      <c r="E248" s="87">
        <v>2.6549999999999998</v>
      </c>
      <c r="F248" s="87">
        <f>7.49*45/40</f>
        <v>8.4262499999999996</v>
      </c>
      <c r="G248" s="87">
        <f>14.89*45/40</f>
        <v>16.751250000000002</v>
      </c>
    </row>
    <row r="249" spans="1:7">
      <c r="A249" s="4" t="s">
        <v>129</v>
      </c>
      <c r="B249" s="2" t="s">
        <v>30</v>
      </c>
      <c r="C249" s="3">
        <v>200</v>
      </c>
      <c r="D249" s="87">
        <v>83.4</v>
      </c>
      <c r="E249" s="87">
        <f>5*0.2</f>
        <v>1</v>
      </c>
      <c r="F249" s="87">
        <v>0.2</v>
      </c>
      <c r="G249" s="87">
        <v>19.600000000000001</v>
      </c>
    </row>
    <row r="250" spans="1:7">
      <c r="A250" s="4"/>
      <c r="B250" s="2" t="s">
        <v>5</v>
      </c>
      <c r="C250" s="3">
        <v>20</v>
      </c>
      <c r="D250" s="87">
        <v>47.4</v>
      </c>
      <c r="E250" s="87">
        <v>1.5</v>
      </c>
      <c r="F250" s="87">
        <v>0.1</v>
      </c>
      <c r="G250" s="87">
        <v>10</v>
      </c>
    </row>
    <row r="251" spans="1:7">
      <c r="A251" s="4"/>
      <c r="B251" s="2" t="s">
        <v>6</v>
      </c>
      <c r="C251" s="3">
        <v>20</v>
      </c>
      <c r="D251" s="87">
        <v>40.799999999999997</v>
      </c>
      <c r="E251" s="87">
        <v>1.3</v>
      </c>
      <c r="F251" s="87">
        <v>0.2</v>
      </c>
      <c r="G251" s="87">
        <v>8.5</v>
      </c>
    </row>
    <row r="252" spans="1:7">
      <c r="A252" s="113"/>
      <c r="B252" s="17" t="s">
        <v>7</v>
      </c>
      <c r="C252" s="10">
        <f>SUM(C246:C251)</f>
        <v>505</v>
      </c>
      <c r="D252" s="104">
        <f t="shared" ref="D252" si="60">SUM(D246:D251)</f>
        <v>511.88999999999993</v>
      </c>
      <c r="E252" s="104">
        <f t="shared" ref="E252:G252" si="61">SUM(E246:E251)</f>
        <v>11.139000000000001</v>
      </c>
      <c r="F252" s="104">
        <f t="shared" si="61"/>
        <v>16.796250000000001</v>
      </c>
      <c r="G252" s="104">
        <f t="shared" si="61"/>
        <v>76.581850000000003</v>
      </c>
    </row>
    <row r="253" spans="1:7">
      <c r="A253" s="101"/>
      <c r="B253" s="101"/>
      <c r="C253" s="101"/>
      <c r="D253" s="101"/>
      <c r="E253" s="101"/>
      <c r="F253" s="101"/>
      <c r="G253" s="101"/>
    </row>
    <row r="254" spans="1:7">
      <c r="A254" s="4" t="s">
        <v>126</v>
      </c>
      <c r="B254" s="2" t="s">
        <v>8</v>
      </c>
      <c r="C254" s="3">
        <v>60</v>
      </c>
      <c r="D254" s="87">
        <f>1338*0.06</f>
        <v>80.28</v>
      </c>
      <c r="E254" s="87">
        <f>27.31*0.06</f>
        <v>1.6385999999999998</v>
      </c>
      <c r="F254" s="87">
        <f>1.87*0.06</f>
        <v>0.11220000000000001</v>
      </c>
      <c r="G254" s="87">
        <f>145.45*0.06</f>
        <v>8.7269999999999985</v>
      </c>
    </row>
    <row r="255" spans="1:7">
      <c r="A255" s="4" t="s">
        <v>127</v>
      </c>
      <c r="B255" s="2" t="s">
        <v>9</v>
      </c>
      <c r="C255" s="3">
        <v>200</v>
      </c>
      <c r="D255" s="87">
        <f>415*0.2</f>
        <v>83</v>
      </c>
      <c r="E255" s="87">
        <f>7.21*0.2</f>
        <v>1.4420000000000002</v>
      </c>
      <c r="F255" s="87">
        <f>19.68*0.2</f>
        <v>3.9359999999999999</v>
      </c>
      <c r="G255" s="87">
        <f>43.73*0.2</f>
        <v>8.7460000000000004</v>
      </c>
    </row>
    <row r="256" spans="1:7">
      <c r="A256" s="4" t="s">
        <v>153</v>
      </c>
      <c r="B256" s="2" t="s">
        <v>44</v>
      </c>
      <c r="C256" s="3">
        <v>150</v>
      </c>
      <c r="D256" s="87">
        <f>915*0.15</f>
        <v>137.25</v>
      </c>
      <c r="E256" s="87">
        <f>20.43*0.15</f>
        <v>3.0644999999999998</v>
      </c>
      <c r="F256" s="87">
        <f>32.01*0.15</f>
        <v>4.8014999999999999</v>
      </c>
      <c r="G256" s="87">
        <f>136.26*0.15</f>
        <v>20.438999999999997</v>
      </c>
    </row>
    <row r="257" spans="1:7">
      <c r="A257" s="4" t="s">
        <v>173</v>
      </c>
      <c r="B257" s="2" t="s">
        <v>67</v>
      </c>
      <c r="C257" s="3">
        <v>100</v>
      </c>
      <c r="D257" s="87">
        <v>185</v>
      </c>
      <c r="E257" s="87">
        <v>13.26</v>
      </c>
      <c r="F257" s="87">
        <v>11.23</v>
      </c>
      <c r="G257" s="87">
        <v>2.1800000000000002</v>
      </c>
    </row>
    <row r="258" spans="1:7">
      <c r="A258" s="4" t="s">
        <v>174</v>
      </c>
      <c r="B258" s="2" t="s">
        <v>68</v>
      </c>
      <c r="C258" s="3">
        <v>180</v>
      </c>
      <c r="D258" s="87">
        <f>154.6*180/200</f>
        <v>139.13999999999999</v>
      </c>
      <c r="E258" s="87">
        <f>0.89*180/200</f>
        <v>0.80099999999999993</v>
      </c>
      <c r="F258" s="87">
        <f>0.06*180/200</f>
        <v>5.3999999999999992E-2</v>
      </c>
      <c r="G258" s="87">
        <f>32.75*180/200</f>
        <v>29.475000000000001</v>
      </c>
    </row>
    <row r="259" spans="1:7">
      <c r="A259" s="4" t="s">
        <v>125</v>
      </c>
      <c r="B259" s="2" t="s">
        <v>82</v>
      </c>
      <c r="C259" s="3">
        <v>100</v>
      </c>
      <c r="D259" s="87">
        <v>56.4</v>
      </c>
      <c r="E259" s="87">
        <v>0.5</v>
      </c>
      <c r="F259" s="87">
        <v>0.5</v>
      </c>
      <c r="G259" s="87">
        <v>11.8</v>
      </c>
    </row>
    <row r="260" spans="1:7">
      <c r="A260" s="4"/>
      <c r="B260" s="2" t="s">
        <v>5</v>
      </c>
      <c r="C260" s="3">
        <v>50</v>
      </c>
      <c r="D260" s="87">
        <v>118.4</v>
      </c>
      <c r="E260" s="87">
        <v>3.8</v>
      </c>
      <c r="F260" s="87">
        <v>0.3</v>
      </c>
      <c r="G260" s="87">
        <v>25.1</v>
      </c>
    </row>
    <row r="261" spans="1:7">
      <c r="A261" s="4"/>
      <c r="B261" s="2" t="s">
        <v>6</v>
      </c>
      <c r="C261" s="3">
        <v>30</v>
      </c>
      <c r="D261" s="87">
        <v>61.2</v>
      </c>
      <c r="E261" s="87">
        <v>2</v>
      </c>
      <c r="F261" s="87">
        <v>0.3</v>
      </c>
      <c r="G261" s="87">
        <v>12.7</v>
      </c>
    </row>
    <row r="262" spans="1:7">
      <c r="A262" s="113"/>
      <c r="B262" s="17" t="s">
        <v>7</v>
      </c>
      <c r="C262" s="10">
        <f>SUM(C254:C261)</f>
        <v>870</v>
      </c>
      <c r="D262" s="104">
        <f>SUM(D254:D261)</f>
        <v>860.67</v>
      </c>
      <c r="E262" s="104">
        <f>SUM(E254:E261)</f>
        <v>26.506099999999996</v>
      </c>
      <c r="F262" s="104">
        <f>SUM(F254:F261)</f>
        <v>21.233699999999999</v>
      </c>
      <c r="G262" s="104">
        <f>SUM(G254:G261)</f>
        <v>119.16699999999999</v>
      </c>
    </row>
    <row r="263" spans="1:7">
      <c r="A263" s="101"/>
      <c r="B263" s="101"/>
      <c r="C263" s="101"/>
      <c r="D263" s="101"/>
      <c r="E263" s="101"/>
      <c r="F263" s="101"/>
      <c r="G263" s="101"/>
    </row>
    <row r="264" spans="1:7">
      <c r="A264" s="4" t="s">
        <v>175</v>
      </c>
      <c r="B264" s="2" t="s">
        <v>69</v>
      </c>
      <c r="C264" s="3">
        <v>150</v>
      </c>
      <c r="D264" s="87">
        <v>271.3</v>
      </c>
      <c r="E264" s="87">
        <v>8.1</v>
      </c>
      <c r="F264" s="87">
        <v>12.1</v>
      </c>
      <c r="G264" s="87">
        <v>34.799999999999997</v>
      </c>
    </row>
    <row r="265" spans="1:7">
      <c r="A265" s="4"/>
      <c r="B265" s="2" t="s">
        <v>5</v>
      </c>
      <c r="C265" s="3">
        <v>20</v>
      </c>
      <c r="D265" s="87">
        <v>47.4</v>
      </c>
      <c r="E265" s="87">
        <v>1.5</v>
      </c>
      <c r="F265" s="87">
        <v>0.1</v>
      </c>
      <c r="G265" s="87">
        <v>10</v>
      </c>
    </row>
    <row r="266" spans="1:7">
      <c r="A266" s="4" t="s">
        <v>134</v>
      </c>
      <c r="B266" s="5" t="s">
        <v>48</v>
      </c>
      <c r="C266" s="6">
        <v>180</v>
      </c>
      <c r="D266" s="90">
        <f>503*0.18</f>
        <v>90.539999999999992</v>
      </c>
      <c r="E266" s="90">
        <f>15.83*0.18</f>
        <v>2.8493999999999997</v>
      </c>
      <c r="F266" s="90">
        <f>13.39*0.18</f>
        <v>2.4102000000000001</v>
      </c>
      <c r="G266" s="90">
        <f>79.73*0.18</f>
        <v>14.3514</v>
      </c>
    </row>
    <row r="267" spans="1:7">
      <c r="A267" s="113"/>
      <c r="B267" s="17" t="s">
        <v>7</v>
      </c>
      <c r="C267" s="16">
        <v>350</v>
      </c>
      <c r="D267" s="104">
        <f t="shared" ref="D267" si="62">SUM(D264:D266)</f>
        <v>409.24</v>
      </c>
      <c r="E267" s="104">
        <f t="shared" ref="E267:G267" si="63">SUM(E264:E266)</f>
        <v>12.449399999999999</v>
      </c>
      <c r="F267" s="104">
        <f t="shared" si="63"/>
        <v>14.610199999999999</v>
      </c>
      <c r="G267" s="104">
        <f t="shared" si="63"/>
        <v>59.151399999999995</v>
      </c>
    </row>
    <row r="268" spans="1:7">
      <c r="A268" s="113"/>
      <c r="B268" s="17" t="s">
        <v>110</v>
      </c>
      <c r="C268" s="17"/>
      <c r="D268" s="104">
        <f t="shared" ref="D268" si="64">D267+D262+D253</f>
        <v>1269.9099999999999</v>
      </c>
      <c r="E268" s="104">
        <f t="shared" ref="E268:G268" si="65">E267+E262+E253</f>
        <v>38.955499999999994</v>
      </c>
      <c r="F268" s="104">
        <f t="shared" si="65"/>
        <v>35.843899999999998</v>
      </c>
      <c r="G268" s="104">
        <f t="shared" si="65"/>
        <v>178.3184</v>
      </c>
    </row>
    <row r="269" spans="1:7">
      <c r="B269" s="101"/>
      <c r="C269" s="101"/>
      <c r="D269" s="101"/>
      <c r="E269" s="101"/>
      <c r="F269" s="101"/>
      <c r="G269" s="101"/>
    </row>
    <row r="270" spans="1:7">
      <c r="B270" s="101"/>
      <c r="C270" s="101"/>
      <c r="D270" s="101"/>
      <c r="E270" s="101"/>
      <c r="F270" s="101"/>
      <c r="G270" s="101"/>
    </row>
    <row r="272" spans="1:7" ht="14.45" customHeight="1">
      <c r="B272" s="4" t="s">
        <v>116</v>
      </c>
      <c r="C272" s="115"/>
      <c r="D272" s="106"/>
      <c r="E272" s="106"/>
      <c r="F272" s="106"/>
      <c r="G272" s="106"/>
    </row>
    <row r="273" spans="1:7" ht="14.45" customHeight="1">
      <c r="B273" s="4"/>
      <c r="C273" s="115"/>
      <c r="D273" s="102"/>
      <c r="E273" s="102"/>
      <c r="F273" s="102"/>
      <c r="G273" s="102"/>
    </row>
    <row r="274" spans="1:7">
      <c r="B274" s="2" t="s">
        <v>117</v>
      </c>
      <c r="C274" s="110"/>
      <c r="D274" s="107"/>
      <c r="E274" s="107"/>
      <c r="F274" s="107"/>
      <c r="G274" s="107"/>
    </row>
    <row r="275" spans="1:7">
      <c r="B275" s="2" t="s">
        <v>118</v>
      </c>
      <c r="C275" s="110"/>
      <c r="D275" s="107"/>
      <c r="E275" s="107"/>
      <c r="F275" s="107"/>
      <c r="G275" s="107"/>
    </row>
    <row r="276" spans="1:7" ht="14.45" customHeight="1">
      <c r="B276" s="111" t="s">
        <v>119</v>
      </c>
      <c r="C276" s="108"/>
      <c r="D276" s="109"/>
      <c r="E276" s="109"/>
      <c r="F276" s="109"/>
      <c r="G276" s="109"/>
    </row>
    <row r="277" spans="1:7">
      <c r="B277" s="101"/>
      <c r="C277" s="101"/>
      <c r="D277" s="101"/>
      <c r="E277" s="101"/>
      <c r="F277" s="101"/>
      <c r="G277" s="101"/>
    </row>
    <row r="278" spans="1:7" ht="14.45" customHeight="1">
      <c r="B278" s="4" t="s">
        <v>120</v>
      </c>
      <c r="C278" s="101"/>
      <c r="D278" s="101"/>
      <c r="E278" s="101"/>
      <c r="F278" s="101"/>
      <c r="G278" s="101"/>
    </row>
    <row r="279" spans="1:7">
      <c r="B279" s="4"/>
    </row>
    <row r="280" spans="1:7">
      <c r="B280" s="4" t="s">
        <v>121</v>
      </c>
    </row>
    <row r="281" spans="1:7">
      <c r="B281" s="101"/>
      <c r="C281" s="101"/>
      <c r="D281" s="101"/>
      <c r="E281" s="101"/>
      <c r="F281" s="101"/>
      <c r="G281" s="101"/>
    </row>
    <row r="282" spans="1:7">
      <c r="A282" s="118"/>
      <c r="B282" s="118" t="s">
        <v>84</v>
      </c>
      <c r="C282" s="118"/>
      <c r="D282" s="119"/>
      <c r="E282" s="119"/>
      <c r="F282" s="119"/>
      <c r="G282" s="119"/>
    </row>
    <row r="283" spans="1:7">
      <c r="A283" s="118"/>
      <c r="B283" s="118" t="s">
        <v>85</v>
      </c>
      <c r="C283" s="118"/>
      <c r="D283" s="119"/>
      <c r="E283" s="119"/>
      <c r="F283" s="119"/>
      <c r="G283" s="1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opLeftCell="A19" workbookViewId="0">
      <selection activeCell="F22" sqref="F22"/>
    </sheetView>
  </sheetViews>
  <sheetFormatPr defaultColWidth="8.85546875" defaultRowHeight="15"/>
  <cols>
    <col min="1" max="1" width="6.85546875" style="29" customWidth="1"/>
    <col min="2" max="2" width="46.42578125" style="27" customWidth="1"/>
    <col min="3" max="3" width="11.7109375" style="27" customWidth="1"/>
    <col min="4" max="4" width="12.28515625" style="65" customWidth="1"/>
    <col min="5" max="5" width="13.85546875" style="27" customWidth="1"/>
    <col min="6" max="16384" width="8.85546875" style="27"/>
  </cols>
  <sheetData>
    <row r="1" spans="1:5" s="32" customFormat="1" ht="26.25" customHeight="1">
      <c r="A1" s="48" t="s">
        <v>17</v>
      </c>
      <c r="B1" s="7"/>
      <c r="C1" s="66"/>
      <c r="D1" s="132" t="s">
        <v>13</v>
      </c>
      <c r="E1" s="124"/>
    </row>
    <row r="2" spans="1:5" s="32" customFormat="1" ht="26.25" customHeight="1">
      <c r="A2" s="48" t="s">
        <v>14</v>
      </c>
      <c r="B2" s="7"/>
      <c r="C2" s="132" t="str">
        <f>'1 Д 1 Н'!C2</f>
        <v>Директор МБОУ _____________</v>
      </c>
      <c r="D2" s="124"/>
      <c r="E2" s="124"/>
    </row>
    <row r="3" spans="1:5" s="32" customFormat="1" ht="26.25" customHeight="1">
      <c r="A3" s="48" t="s">
        <v>15</v>
      </c>
      <c r="B3" s="7"/>
      <c r="C3" s="132" t="str">
        <f>'1 Д 1 Н'!C3</f>
        <v>______________/______________/</v>
      </c>
      <c r="D3" s="124"/>
      <c r="E3" s="124"/>
    </row>
    <row r="4" spans="1:5" s="32" customFormat="1" ht="26.25" customHeight="1">
      <c r="A4" s="48" t="s">
        <v>70</v>
      </c>
      <c r="B4" s="7"/>
      <c r="C4" s="123" t="str">
        <f>'1 Д 1 Н'!C4:D4</f>
        <v>"____"__________2023 г.</v>
      </c>
      <c r="D4" s="124"/>
      <c r="E4" s="124"/>
    </row>
    <row r="6" spans="1:5" s="33" customFormat="1" ht="28.35" customHeight="1">
      <c r="B6" s="126" t="s">
        <v>78</v>
      </c>
      <c r="C6" s="126"/>
      <c r="D6" s="126"/>
      <c r="E6" s="50"/>
    </row>
    <row r="7" spans="1:5">
      <c r="A7" s="130" t="s">
        <v>16</v>
      </c>
      <c r="B7" s="127" t="s">
        <v>0</v>
      </c>
      <c r="C7" s="120" t="s">
        <v>1</v>
      </c>
      <c r="D7" s="128" t="s">
        <v>2</v>
      </c>
      <c r="E7" s="120" t="s">
        <v>77</v>
      </c>
    </row>
    <row r="8" spans="1:5" ht="15.75" thickBot="1">
      <c r="A8" s="131"/>
      <c r="B8" s="127"/>
      <c r="C8" s="120"/>
      <c r="D8" s="128"/>
      <c r="E8" s="120"/>
    </row>
    <row r="9" spans="1:5">
      <c r="A9" s="34">
        <v>1</v>
      </c>
      <c r="B9" s="2" t="s">
        <v>52</v>
      </c>
      <c r="C9" s="4">
        <v>60</v>
      </c>
      <c r="D9" s="12">
        <f>591*0.06</f>
        <v>35.46</v>
      </c>
      <c r="E9" s="67">
        <v>10</v>
      </c>
    </row>
    <row r="10" spans="1:5">
      <c r="A10" s="34">
        <v>2</v>
      </c>
      <c r="B10" s="2" t="s">
        <v>18</v>
      </c>
      <c r="C10" s="3">
        <v>150</v>
      </c>
      <c r="D10" s="12">
        <f>142*150/105</f>
        <v>202.85714285714286</v>
      </c>
      <c r="E10" s="19">
        <v>20</v>
      </c>
    </row>
    <row r="11" spans="1:5">
      <c r="A11" s="34">
        <v>3</v>
      </c>
      <c r="B11" s="2" t="s">
        <v>19</v>
      </c>
      <c r="C11" s="4">
        <v>90</v>
      </c>
      <c r="D11" s="12">
        <f>161*90/55</f>
        <v>263.45454545454544</v>
      </c>
      <c r="E11" s="19">
        <v>40</v>
      </c>
    </row>
    <row r="12" spans="1:5">
      <c r="A12" s="34">
        <v>4</v>
      </c>
      <c r="B12" s="5" t="s">
        <v>20</v>
      </c>
      <c r="C12" s="6">
        <v>180</v>
      </c>
      <c r="D12" s="18">
        <f>503*0.18</f>
        <v>90.539999999999992</v>
      </c>
      <c r="E12" s="68">
        <v>10</v>
      </c>
    </row>
    <row r="13" spans="1:5">
      <c r="A13" s="34">
        <v>5</v>
      </c>
      <c r="B13" s="2" t="s">
        <v>5</v>
      </c>
      <c r="C13" s="3">
        <v>20</v>
      </c>
      <c r="D13" s="12">
        <f>118.4*20/50</f>
        <v>47.36</v>
      </c>
      <c r="E13" s="19">
        <v>2</v>
      </c>
    </row>
    <row r="14" spans="1:5">
      <c r="A14" s="34">
        <v>6</v>
      </c>
      <c r="B14" s="2" t="s">
        <v>6</v>
      </c>
      <c r="C14" s="3">
        <v>20</v>
      </c>
      <c r="D14" s="12">
        <v>40.799999999999997</v>
      </c>
      <c r="E14" s="19">
        <v>3</v>
      </c>
    </row>
    <row r="15" spans="1:5" s="30" customFormat="1" thickBot="1">
      <c r="A15" s="35"/>
      <c r="B15" s="36" t="s">
        <v>7</v>
      </c>
      <c r="C15" s="37">
        <f>SUM(C9:C14)</f>
        <v>520</v>
      </c>
      <c r="D15" s="49">
        <f t="shared" ref="D15" si="0">SUM(D9:D14)</f>
        <v>680.47168831168824</v>
      </c>
      <c r="E15" s="79">
        <f>SUM(E9:E14)</f>
        <v>85</v>
      </c>
    </row>
    <row r="16" spans="1:5">
      <c r="A16" s="50"/>
      <c r="B16" s="133"/>
      <c r="C16" s="133"/>
      <c r="D16" s="133"/>
    </row>
    <row r="17" spans="1:5" s="33" customFormat="1" ht="28.35" customHeight="1">
      <c r="B17" s="126" t="s">
        <v>79</v>
      </c>
      <c r="C17" s="126"/>
      <c r="D17" s="126"/>
      <c r="E17" s="50"/>
    </row>
    <row r="18" spans="1:5" s="33" customFormat="1" ht="13.35" customHeight="1">
      <c r="A18" s="130" t="s">
        <v>16</v>
      </c>
      <c r="B18" s="127" t="s">
        <v>0</v>
      </c>
      <c r="C18" s="120" t="s">
        <v>1</v>
      </c>
      <c r="D18" s="128" t="s">
        <v>2</v>
      </c>
      <c r="E18" s="120" t="s">
        <v>77</v>
      </c>
    </row>
    <row r="19" spans="1:5" s="33" customFormat="1" ht="26.65" customHeight="1" thickBot="1">
      <c r="A19" s="131"/>
      <c r="B19" s="127"/>
      <c r="C19" s="120"/>
      <c r="D19" s="128"/>
      <c r="E19" s="120"/>
    </row>
    <row r="20" spans="1:5">
      <c r="A20" s="34">
        <v>1</v>
      </c>
      <c r="B20" s="2" t="s">
        <v>21</v>
      </c>
      <c r="C20" s="3">
        <v>60</v>
      </c>
      <c r="D20" s="12">
        <f>1319*0.06</f>
        <v>79.14</v>
      </c>
      <c r="E20" s="67">
        <v>10</v>
      </c>
    </row>
    <row r="21" spans="1:5">
      <c r="A21" s="34">
        <v>2</v>
      </c>
      <c r="B21" s="2" t="s">
        <v>86</v>
      </c>
      <c r="C21" s="3">
        <v>200</v>
      </c>
      <c r="D21" s="12">
        <f>593*0.2</f>
        <v>118.60000000000001</v>
      </c>
      <c r="E21" s="19">
        <v>20</v>
      </c>
    </row>
    <row r="22" spans="1:5">
      <c r="A22" s="34">
        <v>3</v>
      </c>
      <c r="B22" s="2" t="s">
        <v>22</v>
      </c>
      <c r="C22" s="3">
        <v>150</v>
      </c>
      <c r="D22" s="12">
        <v>126.6</v>
      </c>
      <c r="E22" s="19">
        <v>16</v>
      </c>
    </row>
    <row r="23" spans="1:5">
      <c r="A23" s="34">
        <v>4</v>
      </c>
      <c r="B23" s="2" t="s">
        <v>23</v>
      </c>
      <c r="C23" s="4">
        <v>90</v>
      </c>
      <c r="D23" s="12">
        <f>143*90/60</f>
        <v>214.5</v>
      </c>
      <c r="E23" s="19">
        <v>40</v>
      </c>
    </row>
    <row r="24" spans="1:5">
      <c r="A24" s="34">
        <v>5</v>
      </c>
      <c r="B24" s="2" t="s">
        <v>24</v>
      </c>
      <c r="C24" s="3">
        <v>200</v>
      </c>
      <c r="D24" s="12">
        <v>84.8</v>
      </c>
      <c r="E24" s="19">
        <v>10</v>
      </c>
    </row>
    <row r="25" spans="1:5">
      <c r="A25" s="34">
        <v>6</v>
      </c>
      <c r="B25" s="2" t="s">
        <v>25</v>
      </c>
      <c r="C25" s="3">
        <v>200</v>
      </c>
      <c r="D25" s="12">
        <v>52</v>
      </c>
      <c r="E25" s="19">
        <v>25</v>
      </c>
    </row>
    <row r="26" spans="1:5">
      <c r="A26" s="34">
        <v>7</v>
      </c>
      <c r="B26" s="2" t="s">
        <v>5</v>
      </c>
      <c r="C26" s="3">
        <v>30</v>
      </c>
      <c r="D26" s="12">
        <v>47.4</v>
      </c>
      <c r="E26" s="19">
        <v>3</v>
      </c>
    </row>
    <row r="27" spans="1:5">
      <c r="A27" s="44">
        <v>8</v>
      </c>
      <c r="B27" s="2" t="s">
        <v>6</v>
      </c>
      <c r="C27" s="3">
        <v>20</v>
      </c>
      <c r="D27" s="12">
        <v>40.799999999999997</v>
      </c>
      <c r="E27" s="19">
        <v>3</v>
      </c>
    </row>
    <row r="28" spans="1:5" ht="15.75" thickBot="1">
      <c r="A28" s="35"/>
      <c r="B28" s="17" t="s">
        <v>7</v>
      </c>
      <c r="C28" s="10">
        <f>SUM(C20:C27)</f>
        <v>950</v>
      </c>
      <c r="D28" s="19">
        <f t="shared" ref="D28" si="1">SUM(D20:D27)</f>
        <v>763.83999999999992</v>
      </c>
      <c r="E28" s="79">
        <f>SUM(E20:E27)</f>
        <v>127</v>
      </c>
    </row>
    <row r="29" spans="1:5" s="31" customFormat="1">
      <c r="A29" s="51"/>
      <c r="B29" s="135"/>
      <c r="C29" s="135"/>
      <c r="D29" s="135"/>
    </row>
    <row r="30" spans="1:5" s="33" customFormat="1" ht="28.35" customHeight="1">
      <c r="B30" s="126" t="s">
        <v>80</v>
      </c>
      <c r="C30" s="126"/>
      <c r="D30" s="126"/>
      <c r="E30" s="50"/>
    </row>
    <row r="31" spans="1:5" s="33" customFormat="1" ht="13.35" customHeight="1">
      <c r="A31" s="130" t="s">
        <v>16</v>
      </c>
      <c r="B31" s="127" t="s">
        <v>0</v>
      </c>
      <c r="C31" s="120" t="s">
        <v>1</v>
      </c>
      <c r="D31" s="128" t="s">
        <v>2</v>
      </c>
      <c r="E31" s="120" t="s">
        <v>77</v>
      </c>
    </row>
    <row r="32" spans="1:5" s="33" customFormat="1" ht="26.65" customHeight="1">
      <c r="A32" s="131"/>
      <c r="B32" s="127"/>
      <c r="C32" s="120"/>
      <c r="D32" s="134"/>
      <c r="E32" s="120"/>
    </row>
    <row r="33" spans="1:6" ht="25.5">
      <c r="A33" s="34">
        <v>1</v>
      </c>
      <c r="B33" s="5" t="s">
        <v>26</v>
      </c>
      <c r="C33" s="6">
        <v>150</v>
      </c>
      <c r="D33" s="18">
        <f>118*150/80</f>
        <v>221.25</v>
      </c>
      <c r="E33" s="35">
        <v>29.72</v>
      </c>
    </row>
    <row r="34" spans="1:6">
      <c r="A34" s="34">
        <v>2</v>
      </c>
      <c r="B34" s="2" t="s">
        <v>82</v>
      </c>
      <c r="C34" s="3">
        <v>120</v>
      </c>
      <c r="D34" s="12">
        <f>56.4*120/100</f>
        <v>67.680000000000007</v>
      </c>
      <c r="E34" s="35">
        <v>10</v>
      </c>
    </row>
    <row r="35" spans="1:6" s="30" customFormat="1" ht="14.25">
      <c r="A35" s="35"/>
      <c r="B35" s="2" t="s">
        <v>27</v>
      </c>
      <c r="C35" s="3">
        <v>180</v>
      </c>
      <c r="D35" s="12">
        <f>112*0.18</f>
        <v>20.16</v>
      </c>
      <c r="E35" s="94">
        <v>10</v>
      </c>
    </row>
    <row r="36" spans="1:6">
      <c r="B36" s="17" t="s">
        <v>7</v>
      </c>
      <c r="C36" s="10">
        <f>C35+C34+C33</f>
        <v>450</v>
      </c>
      <c r="D36" s="19">
        <f t="shared" ref="D36" si="2">SUM(D33:D35)</f>
        <v>309.09000000000003</v>
      </c>
      <c r="E36" s="74">
        <v>49.72</v>
      </c>
    </row>
    <row r="38" spans="1:6" s="38" customFormat="1" ht="21.6" customHeight="1">
      <c r="A38" s="43" t="str">
        <f>'1 Д 1 Н'!A38</f>
        <v xml:space="preserve">    Заведующий производством  _______________/  ______________/                              /</v>
      </c>
      <c r="B38" s="40"/>
      <c r="C38" s="46"/>
      <c r="D38" s="47"/>
    </row>
    <row r="39" spans="1:6" s="33" customFormat="1" ht="21.6" customHeight="1">
      <c r="A39" s="129" t="s">
        <v>84</v>
      </c>
      <c r="B39" s="124"/>
      <c r="C39" s="124"/>
      <c r="D39" s="124"/>
      <c r="E39" s="124"/>
      <c r="F39" s="39"/>
    </row>
    <row r="40" spans="1:6">
      <c r="A40" s="93" t="s">
        <v>85</v>
      </c>
      <c r="D40" s="27"/>
      <c r="E40" s="92"/>
      <c r="F40" s="63"/>
    </row>
  </sheetData>
  <mergeCells count="25">
    <mergeCell ref="A39:E39"/>
    <mergeCell ref="A7:A8"/>
    <mergeCell ref="B7:B8"/>
    <mergeCell ref="C7:C8"/>
    <mergeCell ref="D7:D8"/>
    <mergeCell ref="A18:A19"/>
    <mergeCell ref="B18:B19"/>
    <mergeCell ref="C18:C19"/>
    <mergeCell ref="D18:D19"/>
    <mergeCell ref="A31:A32"/>
    <mergeCell ref="B31:B32"/>
    <mergeCell ref="C31:C32"/>
    <mergeCell ref="D31:D32"/>
    <mergeCell ref="B29:D29"/>
    <mergeCell ref="B30:D30"/>
    <mergeCell ref="E7:E8"/>
    <mergeCell ref="E18:E19"/>
    <mergeCell ref="E31:E32"/>
    <mergeCell ref="D1:E1"/>
    <mergeCell ref="C2:E2"/>
    <mergeCell ref="C3:E3"/>
    <mergeCell ref="C4:E4"/>
    <mergeCell ref="B16:D16"/>
    <mergeCell ref="B6:D6"/>
    <mergeCell ref="B17:D17"/>
  </mergeCells>
  <pageMargins left="0.70866141732283472" right="0.70866141732283472" top="0.3937007874015748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opLeftCell="A7" workbookViewId="0">
      <selection activeCell="F20" sqref="F20"/>
    </sheetView>
  </sheetViews>
  <sheetFormatPr defaultColWidth="8.85546875" defaultRowHeight="15"/>
  <cols>
    <col min="1" max="1" width="6" style="27" customWidth="1"/>
    <col min="2" max="2" width="53" style="27" customWidth="1"/>
    <col min="3" max="3" width="13" style="27" customWidth="1"/>
    <col min="4" max="4" width="11.85546875" style="96" customWidth="1"/>
    <col min="5" max="5" width="8.85546875" style="97"/>
    <col min="6" max="16384" width="8.85546875" style="27"/>
  </cols>
  <sheetData>
    <row r="1" spans="1:5" s="32" customFormat="1" ht="26.25" customHeight="1">
      <c r="A1" s="48" t="s">
        <v>17</v>
      </c>
      <c r="B1" s="7"/>
      <c r="C1" s="7"/>
      <c r="D1" s="136" t="s">
        <v>13</v>
      </c>
      <c r="E1" s="137"/>
    </row>
    <row r="2" spans="1:5" s="32" customFormat="1" ht="26.25" customHeight="1">
      <c r="A2" s="48" t="s">
        <v>14</v>
      </c>
      <c r="B2" s="7"/>
      <c r="C2" s="123" t="str">
        <f>'1 Д 1 Н'!C2</f>
        <v>Директор МБОУ _____________</v>
      </c>
      <c r="D2" s="124"/>
      <c r="E2" s="124"/>
    </row>
    <row r="3" spans="1:5" s="32" customFormat="1" ht="26.25" customHeight="1">
      <c r="A3" s="48" t="s">
        <v>15</v>
      </c>
      <c r="B3" s="7"/>
      <c r="C3" s="123" t="str">
        <f>'1 Д 1 Н'!C3</f>
        <v>______________/______________/</v>
      </c>
      <c r="D3" s="124"/>
      <c r="E3" s="124"/>
    </row>
    <row r="4" spans="1:5" s="32" customFormat="1" ht="26.25" customHeight="1">
      <c r="A4" s="48" t="s">
        <v>70</v>
      </c>
      <c r="B4" s="7"/>
      <c r="C4" s="123" t="str">
        <f>'1 Д 1 Н'!C4:D4</f>
        <v>"____"__________2023 г.</v>
      </c>
      <c r="D4" s="124"/>
      <c r="E4" s="124"/>
    </row>
    <row r="5" spans="1:5">
      <c r="A5" s="29"/>
    </row>
    <row r="6" spans="1:5" s="33" customFormat="1" ht="28.35" customHeight="1">
      <c r="B6" s="126" t="s">
        <v>78</v>
      </c>
      <c r="C6" s="126"/>
      <c r="D6" s="126"/>
      <c r="E6" s="50"/>
    </row>
    <row r="7" spans="1:5" s="33" customFormat="1" ht="13.35" customHeight="1">
      <c r="A7" s="130" t="s">
        <v>28</v>
      </c>
      <c r="B7" s="127" t="s">
        <v>0</v>
      </c>
      <c r="C7" s="120" t="s">
        <v>1</v>
      </c>
      <c r="D7" s="128" t="s">
        <v>2</v>
      </c>
      <c r="E7" s="120" t="s">
        <v>77</v>
      </c>
    </row>
    <row r="8" spans="1:5" s="33" customFormat="1" ht="26.65" customHeight="1" thickBot="1">
      <c r="A8" s="131"/>
      <c r="B8" s="127"/>
      <c r="C8" s="120"/>
      <c r="D8" s="128"/>
      <c r="E8" s="120"/>
    </row>
    <row r="9" spans="1:5" s="33" customFormat="1" ht="12.2" customHeight="1">
      <c r="A9" s="34">
        <v>1</v>
      </c>
      <c r="B9" s="2" t="s">
        <v>29</v>
      </c>
      <c r="C9" s="4">
        <v>100</v>
      </c>
      <c r="D9" s="12">
        <f>10</f>
        <v>10</v>
      </c>
      <c r="E9" s="67">
        <v>10</v>
      </c>
    </row>
    <row r="10" spans="1:5" s="33" customFormat="1" ht="12.2" customHeight="1">
      <c r="A10" s="34">
        <v>2</v>
      </c>
      <c r="B10" s="2" t="s">
        <v>87</v>
      </c>
      <c r="C10" s="3">
        <v>170</v>
      </c>
      <c r="D10" s="12">
        <f>200*170/117</f>
        <v>290.59829059829059</v>
      </c>
      <c r="E10" s="19">
        <v>62</v>
      </c>
    </row>
    <row r="11" spans="1:5" s="33" customFormat="1" ht="12.2" customHeight="1">
      <c r="A11" s="34">
        <v>3</v>
      </c>
      <c r="B11" s="2" t="s">
        <v>30</v>
      </c>
      <c r="C11" s="3">
        <v>200</v>
      </c>
      <c r="D11" s="12">
        <v>83.4</v>
      </c>
      <c r="E11" s="19">
        <v>10</v>
      </c>
    </row>
    <row r="12" spans="1:5" s="33" customFormat="1" ht="12.2" customHeight="1">
      <c r="A12" s="34">
        <v>4</v>
      </c>
      <c r="B12" s="2" t="s">
        <v>5</v>
      </c>
      <c r="C12" s="3">
        <v>30</v>
      </c>
      <c r="D12" s="12">
        <v>47.4</v>
      </c>
      <c r="E12" s="19">
        <v>3</v>
      </c>
    </row>
    <row r="13" spans="1:5" s="33" customFormat="1" ht="12.2" customHeight="1">
      <c r="A13" s="34">
        <v>5</v>
      </c>
      <c r="B13" s="17" t="s">
        <v>7</v>
      </c>
      <c r="C13" s="16">
        <f>SUM(C9:C12)</f>
        <v>500</v>
      </c>
      <c r="D13" s="19">
        <f t="shared" ref="D13" si="0">SUM(D9:D12)</f>
        <v>431.3982905982906</v>
      </c>
      <c r="E13" s="19">
        <f>SUM(E9:E12)</f>
        <v>85</v>
      </c>
    </row>
    <row r="14" spans="1:5" s="33" customFormat="1" ht="12.2" customHeight="1">
      <c r="B14" s="53"/>
      <c r="C14" s="54"/>
      <c r="D14" s="91"/>
      <c r="E14" s="98"/>
    </row>
    <row r="15" spans="1:5" s="33" customFormat="1" ht="28.35" customHeight="1">
      <c r="B15" s="126" t="s">
        <v>79</v>
      </c>
      <c r="C15" s="126"/>
      <c r="D15" s="126"/>
      <c r="E15" s="50"/>
    </row>
    <row r="16" spans="1:5" s="33" customFormat="1" ht="13.35" customHeight="1">
      <c r="A16" s="130" t="s">
        <v>28</v>
      </c>
      <c r="B16" s="120" t="s">
        <v>0</v>
      </c>
      <c r="C16" s="120" t="s">
        <v>1</v>
      </c>
      <c r="D16" s="128" t="s">
        <v>2</v>
      </c>
      <c r="E16" s="120" t="s">
        <v>77</v>
      </c>
    </row>
    <row r="17" spans="1:5" s="33" customFormat="1" ht="26.65" customHeight="1" thickBot="1">
      <c r="A17" s="131"/>
      <c r="B17" s="120"/>
      <c r="C17" s="120"/>
      <c r="D17" s="128"/>
      <c r="E17" s="120"/>
    </row>
    <row r="18" spans="1:5" s="33" customFormat="1" ht="12.2" customHeight="1">
      <c r="A18" s="34">
        <v>1</v>
      </c>
      <c r="B18" s="2" t="s">
        <v>31</v>
      </c>
      <c r="C18" s="4">
        <v>60</v>
      </c>
      <c r="D18" s="12">
        <f>604*0.06</f>
        <v>36.24</v>
      </c>
      <c r="E18" s="67">
        <v>10</v>
      </c>
    </row>
    <row r="19" spans="1:5" s="33" customFormat="1" ht="12.2" customHeight="1">
      <c r="A19" s="34">
        <v>2</v>
      </c>
      <c r="B19" s="2" t="s">
        <v>32</v>
      </c>
      <c r="C19" s="3">
        <v>200</v>
      </c>
      <c r="D19" s="12">
        <f>460*0.2</f>
        <v>92</v>
      </c>
      <c r="E19" s="19">
        <v>20</v>
      </c>
    </row>
    <row r="20" spans="1:5" s="33" customFormat="1" ht="12.2" customHeight="1">
      <c r="A20" s="34">
        <v>3</v>
      </c>
      <c r="B20" s="2" t="s">
        <v>33</v>
      </c>
      <c r="C20" s="3">
        <v>150</v>
      </c>
      <c r="D20" s="12">
        <f>383*150/175</f>
        <v>328.28571428571428</v>
      </c>
      <c r="E20" s="19">
        <v>50</v>
      </c>
    </row>
    <row r="21" spans="1:5" s="33" customFormat="1" ht="12.2" customHeight="1">
      <c r="A21" s="34">
        <v>4</v>
      </c>
      <c r="B21" s="2" t="s">
        <v>88</v>
      </c>
      <c r="C21" s="3">
        <v>180</v>
      </c>
      <c r="D21" s="12">
        <f>100*180/200</f>
        <v>90</v>
      </c>
      <c r="E21" s="19">
        <v>10</v>
      </c>
    </row>
    <row r="22" spans="1:5" s="33" customFormat="1" ht="12.2" customHeight="1">
      <c r="A22" s="34">
        <v>5</v>
      </c>
      <c r="B22" s="5" t="s">
        <v>89</v>
      </c>
      <c r="C22" s="6">
        <v>100</v>
      </c>
      <c r="D22" s="18">
        <v>47</v>
      </c>
      <c r="E22" s="68">
        <v>10</v>
      </c>
    </row>
    <row r="23" spans="1:5" s="33" customFormat="1" ht="12.2" customHeight="1">
      <c r="A23" s="55">
        <v>6</v>
      </c>
      <c r="B23" s="2" t="s">
        <v>90</v>
      </c>
      <c r="C23" s="3">
        <v>15</v>
      </c>
      <c r="D23" s="12">
        <f>123.4*15/40</f>
        <v>46.274999999999999</v>
      </c>
      <c r="E23" s="19">
        <v>6</v>
      </c>
    </row>
    <row r="24" spans="1:5" s="33" customFormat="1" ht="12.2" customHeight="1">
      <c r="A24" s="55">
        <v>7</v>
      </c>
      <c r="B24" s="2" t="s">
        <v>5</v>
      </c>
      <c r="C24" s="3">
        <v>40</v>
      </c>
      <c r="D24" s="12">
        <f>119.6*40/60</f>
        <v>79.733333333333334</v>
      </c>
      <c r="E24" s="19">
        <v>6</v>
      </c>
    </row>
    <row r="25" spans="1:5" s="33" customFormat="1" ht="12.2" customHeight="1" thickBot="1">
      <c r="A25" s="55">
        <v>8</v>
      </c>
      <c r="B25" s="17" t="s">
        <v>7</v>
      </c>
      <c r="C25" s="16">
        <f>SUM(C18:C24)</f>
        <v>745</v>
      </c>
      <c r="D25" s="19">
        <f t="shared" ref="D25" si="1">SUM(D18:D24)</f>
        <v>719.53404761904756</v>
      </c>
      <c r="E25" s="79">
        <f>SUM(E18:E24)</f>
        <v>112</v>
      </c>
    </row>
    <row r="26" spans="1:5" s="33" customFormat="1" ht="21.6" customHeight="1">
      <c r="B26" s="53"/>
      <c r="C26" s="54"/>
      <c r="D26" s="91"/>
      <c r="E26" s="98"/>
    </row>
    <row r="27" spans="1:5" s="33" customFormat="1" ht="28.35" customHeight="1">
      <c r="B27" s="126" t="s">
        <v>80</v>
      </c>
      <c r="C27" s="126"/>
      <c r="D27" s="126"/>
      <c r="E27" s="50"/>
    </row>
    <row r="28" spans="1:5" s="33" customFormat="1" ht="13.35" customHeight="1">
      <c r="A28" s="130" t="s">
        <v>28</v>
      </c>
      <c r="B28" s="120" t="s">
        <v>0</v>
      </c>
      <c r="C28" s="120" t="s">
        <v>1</v>
      </c>
      <c r="D28" s="128" t="s">
        <v>2</v>
      </c>
      <c r="E28" s="120" t="s">
        <v>77</v>
      </c>
    </row>
    <row r="29" spans="1:5" s="33" customFormat="1" ht="26.65" customHeight="1">
      <c r="A29" s="131"/>
      <c r="B29" s="120"/>
      <c r="C29" s="120"/>
      <c r="D29" s="128"/>
      <c r="E29" s="120"/>
    </row>
    <row r="30" spans="1:5" s="33" customFormat="1" ht="12.2" customHeight="1">
      <c r="A30" s="34">
        <v>1</v>
      </c>
      <c r="B30" s="2" t="s">
        <v>34</v>
      </c>
      <c r="C30" s="3">
        <v>100</v>
      </c>
      <c r="D30" s="12">
        <v>226.25</v>
      </c>
      <c r="E30" s="85">
        <v>39.72</v>
      </c>
    </row>
    <row r="31" spans="1:5" s="33" customFormat="1" ht="12.2" customHeight="1">
      <c r="A31" s="34">
        <v>2</v>
      </c>
      <c r="B31" s="2" t="s">
        <v>4</v>
      </c>
      <c r="C31" s="4">
        <v>200</v>
      </c>
      <c r="D31" s="12">
        <v>81</v>
      </c>
      <c r="E31" s="85">
        <v>10</v>
      </c>
    </row>
    <row r="32" spans="1:5" s="38" customFormat="1" ht="12.2" customHeight="1">
      <c r="A32" s="42"/>
      <c r="B32" s="17" t="s">
        <v>7</v>
      </c>
      <c r="C32" s="10">
        <v>300</v>
      </c>
      <c r="D32" s="19">
        <f t="shared" ref="D32" si="2">SUM(D30:D31)</f>
        <v>307.25</v>
      </c>
      <c r="E32" s="37">
        <f t="shared" ref="E32" si="3">SUM(E30:E31)</f>
        <v>49.72</v>
      </c>
    </row>
    <row r="33" spans="1:6" s="33" customFormat="1" ht="12.2" customHeight="1">
      <c r="B33" s="53"/>
      <c r="C33" s="56"/>
      <c r="D33" s="91"/>
      <c r="E33" s="98"/>
    </row>
    <row r="34" spans="1:6" s="38" customFormat="1" ht="21.6" customHeight="1">
      <c r="A34" s="43" t="str">
        <f>'1 Д 1 Н'!A38</f>
        <v xml:space="preserve">    Заведующий производством  _______________/  ______________/                              /</v>
      </c>
      <c r="B34" s="40"/>
      <c r="C34" s="46"/>
      <c r="D34" s="47"/>
      <c r="E34" s="99"/>
    </row>
    <row r="35" spans="1:6" s="33" customFormat="1" ht="21.6" customHeight="1">
      <c r="A35" s="129" t="s">
        <v>84</v>
      </c>
      <c r="B35" s="124"/>
      <c r="C35" s="124"/>
      <c r="D35" s="124"/>
      <c r="E35" s="124"/>
      <c r="F35" s="39"/>
    </row>
    <row r="36" spans="1:6">
      <c r="A36" s="93" t="s">
        <v>85</v>
      </c>
      <c r="D36" s="27"/>
      <c r="E36" s="92"/>
      <c r="F36" s="63"/>
    </row>
  </sheetData>
  <mergeCells count="23">
    <mergeCell ref="A35:E35"/>
    <mergeCell ref="A7:A8"/>
    <mergeCell ref="B7:B8"/>
    <mergeCell ref="C7:C8"/>
    <mergeCell ref="D7:D8"/>
    <mergeCell ref="A28:A29"/>
    <mergeCell ref="B28:B29"/>
    <mergeCell ref="C28:C29"/>
    <mergeCell ref="D28:D29"/>
    <mergeCell ref="B15:D15"/>
    <mergeCell ref="A16:A17"/>
    <mergeCell ref="B16:B17"/>
    <mergeCell ref="C16:C17"/>
    <mergeCell ref="D16:D17"/>
    <mergeCell ref="B27:D27"/>
    <mergeCell ref="E7:E8"/>
    <mergeCell ref="E16:E17"/>
    <mergeCell ref="E28:E29"/>
    <mergeCell ref="D1:E1"/>
    <mergeCell ref="C2:E2"/>
    <mergeCell ref="C3:E3"/>
    <mergeCell ref="C4:E4"/>
    <mergeCell ref="B6:D6"/>
  </mergeCells>
  <pageMargins left="0.70866141732283472" right="0.70866141732283472" top="0.3937007874015748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topLeftCell="A22" workbookViewId="0">
      <selection activeCell="E25" sqref="E25"/>
    </sheetView>
  </sheetViews>
  <sheetFormatPr defaultColWidth="8.85546875" defaultRowHeight="15"/>
  <cols>
    <col min="1" max="1" width="5.7109375" style="27" customWidth="1"/>
    <col min="2" max="2" width="43" style="27" customWidth="1"/>
    <col min="3" max="3" width="16" style="27" customWidth="1"/>
    <col min="4" max="4" width="20.5703125" style="97" customWidth="1"/>
    <col min="5" max="5" width="8.85546875" style="97"/>
    <col min="6" max="16384" width="8.85546875" style="27"/>
  </cols>
  <sheetData>
    <row r="1" spans="1:5">
      <c r="A1" s="27" t="str">
        <f>'1 Д 1 Н'!A1</f>
        <v>Утверждаю</v>
      </c>
      <c r="D1" s="138" t="str">
        <f>'1 Д 1 Н'!D1</f>
        <v>Согласовано</v>
      </c>
      <c r="E1" s="137"/>
    </row>
    <row r="2" spans="1:5">
      <c r="A2" s="27" t="str">
        <f>'1 Д 1 Н'!A2</f>
        <v>Директор ООО "ВитаЛайн"</v>
      </c>
      <c r="C2" s="139" t="str">
        <f>'1 Д 1 Н'!C2</f>
        <v>Директор МБОУ _____________</v>
      </c>
      <c r="D2" s="124"/>
      <c r="E2" s="124"/>
    </row>
    <row r="3" spans="1:5">
      <c r="A3" s="27" t="str">
        <f>'1 Д 1 Н'!A3</f>
        <v>_____________Н.Н.Клоков</v>
      </c>
      <c r="C3" s="139" t="str">
        <f>'1 Д 1 Н'!C3</f>
        <v>______________/______________/</v>
      </c>
      <c r="D3" s="124"/>
      <c r="E3" s="124"/>
    </row>
    <row r="4" spans="1:5">
      <c r="A4" s="27" t="str">
        <f>'1 Д 1 Н'!A4</f>
        <v>"___"______________2023 г</v>
      </c>
      <c r="C4" s="139" t="s">
        <v>75</v>
      </c>
      <c r="D4" s="124"/>
      <c r="E4" s="124"/>
    </row>
    <row r="8" spans="1:5" s="33" customFormat="1" ht="28.35" customHeight="1">
      <c r="B8" s="126" t="s">
        <v>78</v>
      </c>
      <c r="C8" s="126"/>
      <c r="D8" s="126"/>
      <c r="E8" s="50"/>
    </row>
    <row r="9" spans="1:5" ht="12" customHeight="1">
      <c r="A9" s="130" t="s">
        <v>28</v>
      </c>
      <c r="B9" s="120" t="s">
        <v>0</v>
      </c>
      <c r="C9" s="120" t="s">
        <v>1</v>
      </c>
      <c r="D9" s="120" t="s">
        <v>2</v>
      </c>
      <c r="E9" s="120" t="s">
        <v>77</v>
      </c>
    </row>
    <row r="10" spans="1:5" ht="15.75" thickBot="1">
      <c r="A10" s="131"/>
      <c r="B10" s="120"/>
      <c r="C10" s="120"/>
      <c r="D10" s="120"/>
      <c r="E10" s="120"/>
    </row>
    <row r="11" spans="1:5">
      <c r="A11" s="34">
        <v>1</v>
      </c>
      <c r="B11" s="2" t="s">
        <v>35</v>
      </c>
      <c r="C11" s="3">
        <v>60</v>
      </c>
      <c r="D11" s="12">
        <f>857*0.06</f>
        <v>51.419999999999995</v>
      </c>
      <c r="E11" s="67">
        <v>10</v>
      </c>
    </row>
    <row r="12" spans="1:5">
      <c r="A12" s="34">
        <v>2</v>
      </c>
      <c r="B12" s="2" t="s">
        <v>36</v>
      </c>
      <c r="C12" s="3">
        <v>170</v>
      </c>
      <c r="D12" s="12">
        <f>208*170/175</f>
        <v>202.05714285714285</v>
      </c>
      <c r="E12" s="19">
        <v>48</v>
      </c>
    </row>
    <row r="13" spans="1:5">
      <c r="A13" s="34">
        <v>3</v>
      </c>
      <c r="B13" s="2" t="s">
        <v>4</v>
      </c>
      <c r="C13" s="4">
        <v>180</v>
      </c>
      <c r="D13" s="12">
        <f>81*180/200</f>
        <v>72.900000000000006</v>
      </c>
      <c r="E13" s="19">
        <v>10</v>
      </c>
    </row>
    <row r="14" spans="1:5">
      <c r="A14" s="34">
        <v>4</v>
      </c>
      <c r="B14" s="2" t="s">
        <v>82</v>
      </c>
      <c r="C14" s="3">
        <v>100</v>
      </c>
      <c r="D14" s="12">
        <v>56.4</v>
      </c>
      <c r="E14" s="19">
        <v>10</v>
      </c>
    </row>
    <row r="15" spans="1:5">
      <c r="A15" s="34">
        <v>6</v>
      </c>
      <c r="B15" s="2" t="s">
        <v>5</v>
      </c>
      <c r="C15" s="3">
        <v>20</v>
      </c>
      <c r="D15" s="12">
        <f>118.4*20/50</f>
        <v>47.36</v>
      </c>
      <c r="E15" s="19">
        <v>2</v>
      </c>
    </row>
    <row r="16" spans="1:5">
      <c r="A16" s="34">
        <v>7</v>
      </c>
      <c r="B16" s="17" t="s">
        <v>7</v>
      </c>
      <c r="C16" s="10">
        <f>SUM(C11:C15)</f>
        <v>530</v>
      </c>
      <c r="D16" s="19">
        <f t="shared" ref="D16" si="0">SUM(D11:D15)</f>
        <v>430.13714285714286</v>
      </c>
      <c r="E16" s="19">
        <f>SUM(E11:E15)</f>
        <v>80</v>
      </c>
    </row>
    <row r="17" spans="1:5">
      <c r="A17" s="33"/>
      <c r="B17" s="53"/>
      <c r="C17" s="56"/>
      <c r="D17" s="91"/>
    </row>
    <row r="18" spans="1:5">
      <c r="A18" s="33"/>
      <c r="B18" s="53"/>
      <c r="C18" s="56"/>
      <c r="D18" s="91"/>
    </row>
    <row r="19" spans="1:5" s="33" customFormat="1" ht="28.35" customHeight="1">
      <c r="B19" s="126" t="s">
        <v>79</v>
      </c>
      <c r="C19" s="126"/>
      <c r="D19" s="126"/>
      <c r="E19" s="50"/>
    </row>
    <row r="20" spans="1:5" ht="12" customHeight="1">
      <c r="A20" s="142" t="s">
        <v>28</v>
      </c>
      <c r="B20" s="127" t="s">
        <v>0</v>
      </c>
      <c r="C20" s="120" t="s">
        <v>1</v>
      </c>
      <c r="D20" s="120" t="s">
        <v>2</v>
      </c>
      <c r="E20" s="120" t="s">
        <v>77</v>
      </c>
    </row>
    <row r="21" spans="1:5" ht="12" customHeight="1" thickBot="1">
      <c r="A21" s="143"/>
      <c r="B21" s="127"/>
      <c r="C21" s="120"/>
      <c r="D21" s="120"/>
      <c r="E21" s="120"/>
    </row>
    <row r="22" spans="1:5">
      <c r="A22" s="57">
        <v>1</v>
      </c>
      <c r="B22" s="2" t="s">
        <v>37</v>
      </c>
      <c r="C22" s="3">
        <v>60</v>
      </c>
      <c r="D22" s="12">
        <f>1863*0.06</f>
        <v>111.78</v>
      </c>
      <c r="E22" s="67">
        <v>10</v>
      </c>
    </row>
    <row r="23" spans="1:5">
      <c r="A23" s="34">
        <v>2</v>
      </c>
      <c r="B23" s="2" t="s">
        <v>38</v>
      </c>
      <c r="C23" s="3">
        <v>200</v>
      </c>
      <c r="D23" s="12">
        <f>429*0.2</f>
        <v>85.800000000000011</v>
      </c>
      <c r="E23" s="19">
        <v>20</v>
      </c>
    </row>
    <row r="24" spans="1:5" ht="25.5">
      <c r="A24" s="34">
        <v>3</v>
      </c>
      <c r="B24" s="2" t="s">
        <v>111</v>
      </c>
      <c r="C24" s="3">
        <v>215</v>
      </c>
      <c r="D24" s="12">
        <v>362.03</v>
      </c>
      <c r="E24" s="19">
        <v>51</v>
      </c>
    </row>
    <row r="25" spans="1:5">
      <c r="A25" s="34">
        <v>4</v>
      </c>
      <c r="B25" s="2" t="s">
        <v>11</v>
      </c>
      <c r="C25" s="3">
        <v>200</v>
      </c>
      <c r="D25" s="12">
        <v>100.4</v>
      </c>
      <c r="E25" s="19">
        <v>10</v>
      </c>
    </row>
    <row r="26" spans="1:5">
      <c r="A26" s="34">
        <v>5</v>
      </c>
      <c r="B26" s="2" t="s">
        <v>5</v>
      </c>
      <c r="C26" s="3">
        <v>40</v>
      </c>
      <c r="D26" s="12">
        <f>119.6*40/60</f>
        <v>79.733333333333334</v>
      </c>
      <c r="E26" s="19">
        <v>6</v>
      </c>
    </row>
    <row r="27" spans="1:5">
      <c r="A27" s="34">
        <v>6</v>
      </c>
      <c r="B27" s="2" t="s">
        <v>6</v>
      </c>
      <c r="C27" s="3">
        <v>30</v>
      </c>
      <c r="D27" s="12">
        <v>61.2</v>
      </c>
      <c r="E27" s="19">
        <v>4.5</v>
      </c>
    </row>
    <row r="28" spans="1:5" ht="15.75" thickBot="1">
      <c r="A28" s="34">
        <v>7</v>
      </c>
      <c r="B28" s="17" t="s">
        <v>7</v>
      </c>
      <c r="C28" s="10">
        <f>SUM(C21:C27)</f>
        <v>745</v>
      </c>
      <c r="D28" s="19">
        <f t="shared" ref="D28" si="1">SUM(D21:D27)</f>
        <v>800.94333333333338</v>
      </c>
      <c r="E28" s="79">
        <f>SUM(E22:E27)</f>
        <v>101.5</v>
      </c>
    </row>
    <row r="29" spans="1:5">
      <c r="A29" s="33"/>
      <c r="B29" s="53"/>
      <c r="C29" s="56"/>
      <c r="D29" s="91"/>
    </row>
    <row r="30" spans="1:5" s="33" customFormat="1" ht="28.35" customHeight="1">
      <c r="B30" s="126" t="s">
        <v>80</v>
      </c>
      <c r="C30" s="126"/>
      <c r="D30" s="126"/>
      <c r="E30" s="50"/>
    </row>
    <row r="31" spans="1:5">
      <c r="A31" s="140" t="s">
        <v>28</v>
      </c>
      <c r="B31" s="120" t="s">
        <v>0</v>
      </c>
      <c r="C31" s="120" t="s">
        <v>1</v>
      </c>
      <c r="D31" s="120" t="s">
        <v>2</v>
      </c>
      <c r="E31" s="120" t="s">
        <v>77</v>
      </c>
    </row>
    <row r="32" spans="1:5">
      <c r="A32" s="141"/>
      <c r="B32" s="120"/>
      <c r="C32" s="120"/>
      <c r="D32" s="120"/>
      <c r="E32" s="120"/>
    </row>
    <row r="33" spans="1:6">
      <c r="A33" s="58">
        <v>1</v>
      </c>
      <c r="B33" s="2" t="s">
        <v>176</v>
      </c>
      <c r="C33" s="3">
        <v>150</v>
      </c>
      <c r="D33" s="18">
        <v>117.98</v>
      </c>
      <c r="E33" s="85">
        <f>49.72-12</f>
        <v>37.72</v>
      </c>
    </row>
    <row r="34" spans="1:6">
      <c r="A34" s="34">
        <v>2</v>
      </c>
      <c r="B34" s="5" t="s">
        <v>20</v>
      </c>
      <c r="C34" s="6">
        <v>180</v>
      </c>
      <c r="D34" s="18">
        <f>503*0.18</f>
        <v>90.539999999999992</v>
      </c>
      <c r="E34" s="85">
        <v>10</v>
      </c>
    </row>
    <row r="35" spans="1:6">
      <c r="A35" s="34">
        <v>3</v>
      </c>
      <c r="B35" s="2" t="s">
        <v>5</v>
      </c>
      <c r="C35" s="3">
        <v>20</v>
      </c>
      <c r="D35" s="12">
        <v>47.4</v>
      </c>
      <c r="E35" s="85">
        <v>2</v>
      </c>
    </row>
    <row r="36" spans="1:6">
      <c r="A36" s="35"/>
      <c r="B36" s="17" t="s">
        <v>7</v>
      </c>
      <c r="C36" s="16">
        <f>SUM(C33:C35)</f>
        <v>350</v>
      </c>
      <c r="D36" s="19">
        <f t="shared" ref="D36" si="2">SUM(D33:D35)</f>
        <v>255.92</v>
      </c>
      <c r="E36" s="49">
        <f>SUM(E33:E35)</f>
        <v>49.72</v>
      </c>
    </row>
    <row r="37" spans="1:6" s="38" customFormat="1" ht="21.6" customHeight="1">
      <c r="A37" s="27"/>
      <c r="B37" s="27"/>
      <c r="C37" s="27"/>
      <c r="D37" s="97"/>
      <c r="E37" s="99"/>
    </row>
    <row r="38" spans="1:6">
      <c r="A38" s="43" t="str">
        <f>'1 Д 1 Н'!A38</f>
        <v xml:space="preserve">    Заведующий производством  _______________/  ______________/                              /</v>
      </c>
      <c r="B38" s="40"/>
      <c r="C38" s="46"/>
      <c r="D38" s="47"/>
    </row>
    <row r="39" spans="1:6" s="33" customFormat="1" ht="21.6" customHeight="1">
      <c r="A39" s="129" t="s">
        <v>84</v>
      </c>
      <c r="B39" s="124"/>
      <c r="C39" s="124"/>
      <c r="D39" s="124"/>
      <c r="E39" s="124"/>
      <c r="F39" s="39"/>
    </row>
    <row r="40" spans="1:6">
      <c r="A40" s="93" t="s">
        <v>85</v>
      </c>
      <c r="D40" s="27"/>
      <c r="E40" s="92"/>
      <c r="F40" s="63"/>
    </row>
  </sheetData>
  <mergeCells count="23">
    <mergeCell ref="A39:E39"/>
    <mergeCell ref="A9:A10"/>
    <mergeCell ref="B9:B10"/>
    <mergeCell ref="C9:C10"/>
    <mergeCell ref="D9:D10"/>
    <mergeCell ref="A31:A32"/>
    <mergeCell ref="B20:B21"/>
    <mergeCell ref="C20:C21"/>
    <mergeCell ref="D20:D21"/>
    <mergeCell ref="A20:A21"/>
    <mergeCell ref="B31:B32"/>
    <mergeCell ref="C31:C32"/>
    <mergeCell ref="D31:D32"/>
    <mergeCell ref="E9:E10"/>
    <mergeCell ref="E20:E21"/>
    <mergeCell ref="E31:E32"/>
    <mergeCell ref="B30:D30"/>
    <mergeCell ref="B8:D8"/>
    <mergeCell ref="D1:E1"/>
    <mergeCell ref="C2:E2"/>
    <mergeCell ref="C3:E3"/>
    <mergeCell ref="C4:E4"/>
    <mergeCell ref="B19:D19"/>
  </mergeCells>
  <pageMargins left="0.70866141732283472" right="0.70866141732283472" top="0.3937007874015748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topLeftCell="A19" workbookViewId="0">
      <selection activeCell="E22" sqref="E22:E28"/>
    </sheetView>
  </sheetViews>
  <sheetFormatPr defaultColWidth="8.85546875" defaultRowHeight="15"/>
  <cols>
    <col min="1" max="1" width="5.7109375" style="27" customWidth="1"/>
    <col min="2" max="2" width="43" style="27" customWidth="1"/>
    <col min="3" max="3" width="16" style="27" customWidth="1"/>
    <col min="4" max="4" width="20.5703125" style="100" customWidth="1"/>
    <col min="5" max="16384" width="8.85546875" style="27"/>
  </cols>
  <sheetData>
    <row r="1" spans="1:5">
      <c r="A1" s="27" t="str">
        <f>'1 Д 1 Н'!A1</f>
        <v>Утверждаю</v>
      </c>
      <c r="D1" s="100" t="str">
        <f>'1 Д 1 Н'!D1</f>
        <v>Согласовано</v>
      </c>
    </row>
    <row r="2" spans="1:5">
      <c r="A2" s="27" t="str">
        <f>'1 Д 1 Н'!A2</f>
        <v>Директор ООО "ВитаЛайн"</v>
      </c>
      <c r="D2" s="100" t="str">
        <f>'1 Д 1 Н'!C2</f>
        <v>Директор МБОУ _____________</v>
      </c>
    </row>
    <row r="3" spans="1:5">
      <c r="A3" s="27" t="str">
        <f>'1 Д 1 Н'!A3</f>
        <v>_____________Н.Н.Клоков</v>
      </c>
      <c r="D3" s="100" t="str">
        <f>'1 Д 1 Н'!C3</f>
        <v>______________/______________/</v>
      </c>
    </row>
    <row r="4" spans="1:5">
      <c r="A4" s="27" t="str">
        <f>'1 Д 1 Н'!A4</f>
        <v>"___"______________2023 г</v>
      </c>
      <c r="D4" s="100" t="s">
        <v>76</v>
      </c>
    </row>
    <row r="8" spans="1:5" s="33" customFormat="1" ht="28.35" customHeight="1">
      <c r="B8" s="126" t="s">
        <v>78</v>
      </c>
      <c r="C8" s="126"/>
      <c r="D8" s="126"/>
      <c r="E8" s="50"/>
    </row>
    <row r="9" spans="1:5">
      <c r="A9" s="130" t="s">
        <v>28</v>
      </c>
      <c r="B9" s="120" t="s">
        <v>0</v>
      </c>
      <c r="C9" s="120" t="s">
        <v>1</v>
      </c>
      <c r="D9" s="120" t="s">
        <v>2</v>
      </c>
      <c r="E9" s="120" t="s">
        <v>77</v>
      </c>
    </row>
    <row r="10" spans="1:5" ht="15.75" thickBot="1">
      <c r="A10" s="131"/>
      <c r="B10" s="120"/>
      <c r="C10" s="120"/>
      <c r="D10" s="120"/>
      <c r="E10" s="120"/>
    </row>
    <row r="11" spans="1:5">
      <c r="A11" s="34">
        <v>1</v>
      </c>
      <c r="B11" s="2" t="s">
        <v>39</v>
      </c>
      <c r="C11" s="3">
        <v>100</v>
      </c>
      <c r="D11" s="12">
        <f>792*0.1</f>
        <v>79.2</v>
      </c>
      <c r="E11" s="67">
        <v>10</v>
      </c>
    </row>
    <row r="12" spans="1:5">
      <c r="A12" s="34">
        <v>2</v>
      </c>
      <c r="B12" s="2" t="s">
        <v>91</v>
      </c>
      <c r="C12" s="3">
        <v>150</v>
      </c>
      <c r="D12" s="12">
        <v>231</v>
      </c>
      <c r="E12" s="19">
        <v>43</v>
      </c>
    </row>
    <row r="13" spans="1:5" ht="25.5">
      <c r="A13" s="34">
        <v>3</v>
      </c>
      <c r="B13" s="2" t="s">
        <v>27</v>
      </c>
      <c r="C13" s="3">
        <v>200</v>
      </c>
      <c r="D13" s="12">
        <f>112*0.2</f>
        <v>22.400000000000002</v>
      </c>
      <c r="E13" s="19">
        <v>10</v>
      </c>
    </row>
    <row r="14" spans="1:5">
      <c r="A14" s="34">
        <v>4</v>
      </c>
      <c r="B14" s="2" t="s">
        <v>5</v>
      </c>
      <c r="C14" s="3">
        <v>30</v>
      </c>
      <c r="D14" s="12">
        <v>47.4</v>
      </c>
      <c r="E14" s="19">
        <v>3</v>
      </c>
    </row>
    <row r="15" spans="1:5">
      <c r="A15" s="34">
        <v>5</v>
      </c>
      <c r="B15" s="2" t="s">
        <v>6</v>
      </c>
      <c r="C15" s="3">
        <v>20</v>
      </c>
      <c r="D15" s="12">
        <v>40.799999999999997</v>
      </c>
      <c r="E15" s="80">
        <v>3</v>
      </c>
    </row>
    <row r="16" spans="1:5" s="30" customFormat="1" ht="14.25">
      <c r="A16" s="35"/>
      <c r="B16" s="17" t="s">
        <v>7</v>
      </c>
      <c r="C16" s="16">
        <f>SUM(C11:C15)</f>
        <v>500</v>
      </c>
      <c r="D16" s="19">
        <f t="shared" ref="D16" si="0">SUM(D11:D15)</f>
        <v>420.79999999999995</v>
      </c>
      <c r="E16" s="70">
        <f>SUM(E11:E15)</f>
        <v>69</v>
      </c>
    </row>
    <row r="17" spans="1:5">
      <c r="A17" s="33"/>
      <c r="B17" s="53"/>
      <c r="C17" s="56"/>
      <c r="D17" s="91"/>
    </row>
    <row r="18" spans="1:5">
      <c r="A18" s="33"/>
      <c r="B18" s="53"/>
      <c r="C18" s="56"/>
      <c r="D18" s="91"/>
    </row>
    <row r="19" spans="1:5" s="33" customFormat="1" ht="28.35" customHeight="1">
      <c r="B19" s="126" t="s">
        <v>79</v>
      </c>
      <c r="C19" s="126"/>
      <c r="D19" s="126"/>
      <c r="E19" s="50"/>
    </row>
    <row r="20" spans="1:5">
      <c r="A20" s="142" t="s">
        <v>28</v>
      </c>
      <c r="B20" s="127" t="s">
        <v>0</v>
      </c>
      <c r="C20" s="120" t="s">
        <v>1</v>
      </c>
      <c r="D20" s="120" t="s">
        <v>2</v>
      </c>
      <c r="E20" s="120" t="s">
        <v>77</v>
      </c>
    </row>
    <row r="21" spans="1:5" ht="15.75" thickBot="1">
      <c r="A21" s="143"/>
      <c r="B21" s="127"/>
      <c r="C21" s="120"/>
      <c r="D21" s="120"/>
      <c r="E21" s="120"/>
    </row>
    <row r="22" spans="1:5">
      <c r="A22" s="57">
        <v>1</v>
      </c>
      <c r="B22" s="2" t="s">
        <v>41</v>
      </c>
      <c r="C22" s="3">
        <v>60</v>
      </c>
      <c r="D22" s="12">
        <f>1340*0.06</f>
        <v>80.399999999999991</v>
      </c>
      <c r="E22" s="156">
        <v>10</v>
      </c>
    </row>
    <row r="23" spans="1:5">
      <c r="A23" s="34">
        <v>2</v>
      </c>
      <c r="B23" s="2" t="s">
        <v>40</v>
      </c>
      <c r="C23" s="3">
        <v>200</v>
      </c>
      <c r="D23" s="12">
        <f>320*0.2</f>
        <v>64</v>
      </c>
      <c r="E23" s="157">
        <v>20</v>
      </c>
    </row>
    <row r="24" spans="1:5">
      <c r="A24" s="34">
        <v>3</v>
      </c>
      <c r="B24" s="2" t="s">
        <v>92</v>
      </c>
      <c r="C24" s="3">
        <v>190</v>
      </c>
      <c r="D24" s="12">
        <f>144*190/80</f>
        <v>342</v>
      </c>
      <c r="E24" s="157">
        <v>57.5</v>
      </c>
    </row>
    <row r="25" spans="1:5">
      <c r="A25" s="34">
        <v>5</v>
      </c>
      <c r="B25" s="2" t="s">
        <v>88</v>
      </c>
      <c r="C25" s="3">
        <v>180</v>
      </c>
      <c r="D25" s="12">
        <f>100*180/200</f>
        <v>90</v>
      </c>
      <c r="E25" s="157">
        <v>10</v>
      </c>
    </row>
    <row r="26" spans="1:5">
      <c r="A26" s="34">
        <v>6</v>
      </c>
      <c r="B26" s="2" t="s">
        <v>5</v>
      </c>
      <c r="C26" s="3">
        <v>50</v>
      </c>
      <c r="D26" s="12">
        <v>118.4</v>
      </c>
      <c r="E26" s="157">
        <v>5</v>
      </c>
    </row>
    <row r="27" spans="1:5">
      <c r="A27" s="34">
        <v>7</v>
      </c>
      <c r="B27" s="2" t="s">
        <v>6</v>
      </c>
      <c r="C27" s="3">
        <v>30</v>
      </c>
      <c r="D27" s="12">
        <v>61.2</v>
      </c>
      <c r="E27" s="157">
        <v>4.5</v>
      </c>
    </row>
    <row r="28" spans="1:5">
      <c r="A28" s="35">
        <v>8</v>
      </c>
      <c r="B28" s="17" t="s">
        <v>7</v>
      </c>
      <c r="C28" s="10">
        <f>SUM(C22:C27)</f>
        <v>710</v>
      </c>
      <c r="D28" s="19">
        <f t="shared" ref="D28" si="1">SUM(D21:D27)</f>
        <v>756</v>
      </c>
      <c r="E28" s="157">
        <f>SUM(E22:E27)</f>
        <v>107</v>
      </c>
    </row>
    <row r="29" spans="1:5">
      <c r="A29" s="33"/>
      <c r="B29" s="53"/>
      <c r="C29" s="56"/>
      <c r="D29" s="91"/>
    </row>
    <row r="30" spans="1:5" s="33" customFormat="1" ht="28.35" customHeight="1">
      <c r="B30" s="126" t="s">
        <v>80</v>
      </c>
      <c r="C30" s="126"/>
      <c r="D30" s="126"/>
      <c r="E30" s="50"/>
    </row>
    <row r="31" spans="1:5">
      <c r="A31" s="140" t="s">
        <v>28</v>
      </c>
      <c r="B31" s="120" t="s">
        <v>0</v>
      </c>
      <c r="C31" s="120" t="s">
        <v>1</v>
      </c>
      <c r="D31" s="120" t="s">
        <v>2</v>
      </c>
      <c r="E31" s="120" t="s">
        <v>77</v>
      </c>
    </row>
    <row r="32" spans="1:5">
      <c r="A32" s="141"/>
      <c r="B32" s="120"/>
      <c r="C32" s="120"/>
      <c r="D32" s="120"/>
      <c r="E32" s="144"/>
    </row>
    <row r="33" spans="1:6">
      <c r="A33" s="58">
        <v>1</v>
      </c>
      <c r="B33" s="2" t="s">
        <v>93</v>
      </c>
      <c r="C33" s="4">
        <v>120</v>
      </c>
      <c r="D33" s="12">
        <v>268</v>
      </c>
      <c r="E33" s="62">
        <v>27.72</v>
      </c>
    </row>
    <row r="34" spans="1:6">
      <c r="A34" s="34">
        <v>2</v>
      </c>
      <c r="B34" s="2" t="s">
        <v>42</v>
      </c>
      <c r="C34" s="3">
        <v>150</v>
      </c>
      <c r="D34" s="12">
        <f>652*0.15</f>
        <v>97.8</v>
      </c>
      <c r="E34" s="62">
        <v>10</v>
      </c>
    </row>
    <row r="35" spans="1:6">
      <c r="A35" s="34">
        <v>3</v>
      </c>
      <c r="B35" s="2" t="s">
        <v>43</v>
      </c>
      <c r="C35" s="3">
        <v>180</v>
      </c>
      <c r="D35" s="12">
        <f>593*0.18</f>
        <v>106.74</v>
      </c>
      <c r="E35" s="62">
        <v>10</v>
      </c>
    </row>
    <row r="36" spans="1:6">
      <c r="A36" s="34">
        <v>4</v>
      </c>
      <c r="B36" s="2" t="s">
        <v>5</v>
      </c>
      <c r="C36" s="3">
        <v>20</v>
      </c>
      <c r="D36" s="12">
        <v>47.4</v>
      </c>
      <c r="E36" s="62">
        <v>2</v>
      </c>
    </row>
    <row r="37" spans="1:6" s="30" customFormat="1" ht="14.25">
      <c r="A37" s="35"/>
      <c r="B37" s="17" t="s">
        <v>7</v>
      </c>
      <c r="C37" s="10">
        <f>SUM(C33:C36)</f>
        <v>470</v>
      </c>
      <c r="D37" s="19">
        <f t="shared" ref="D37" si="2">SUM(D33:D36)</f>
        <v>519.94000000000005</v>
      </c>
      <c r="E37" s="52">
        <f>SUM(E33:E36)</f>
        <v>49.72</v>
      </c>
    </row>
    <row r="38" spans="1:6" s="30" customFormat="1" ht="14.25">
      <c r="A38" s="39"/>
      <c r="B38" s="40"/>
      <c r="C38" s="41"/>
      <c r="D38" s="47"/>
    </row>
    <row r="39" spans="1:6" s="30" customFormat="1" ht="14.25">
      <c r="A39" s="39"/>
      <c r="B39" s="40"/>
      <c r="C39" s="41"/>
      <c r="D39" s="47"/>
    </row>
    <row r="41" spans="1:6">
      <c r="A41" s="43" t="str">
        <f>'1 Д 1 Н'!A38</f>
        <v xml:space="preserve">    Заведующий производством  _______________/  ______________/                              /</v>
      </c>
      <c r="B41" s="40"/>
      <c r="C41" s="46"/>
      <c r="D41" s="47"/>
    </row>
    <row r="42" spans="1:6" s="33" customFormat="1" ht="21.6" customHeight="1">
      <c r="A42" s="129" t="s">
        <v>84</v>
      </c>
      <c r="B42" s="124"/>
      <c r="C42" s="124"/>
      <c r="D42" s="124"/>
      <c r="E42" s="124"/>
      <c r="F42" s="39"/>
    </row>
    <row r="43" spans="1:6">
      <c r="A43" s="93" t="s">
        <v>85</v>
      </c>
      <c r="E43" s="92"/>
      <c r="F43" s="63"/>
    </row>
  </sheetData>
  <mergeCells count="19">
    <mergeCell ref="A42:E42"/>
    <mergeCell ref="B8:D8"/>
    <mergeCell ref="A9:A10"/>
    <mergeCell ref="B9:B10"/>
    <mergeCell ref="C9:C10"/>
    <mergeCell ref="D9:D10"/>
    <mergeCell ref="E9:E10"/>
    <mergeCell ref="E20:E21"/>
    <mergeCell ref="E31:E32"/>
    <mergeCell ref="A31:A32"/>
    <mergeCell ref="B31:B32"/>
    <mergeCell ref="C31:C32"/>
    <mergeCell ref="D31:D32"/>
    <mergeCell ref="B19:D19"/>
    <mergeCell ref="A20:A21"/>
    <mergeCell ref="B20:B21"/>
    <mergeCell ref="C20:C21"/>
    <mergeCell ref="D20:D21"/>
    <mergeCell ref="B30:D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topLeftCell="A19" workbookViewId="0">
      <selection activeCell="F25" sqref="F25"/>
    </sheetView>
  </sheetViews>
  <sheetFormatPr defaultColWidth="8.85546875" defaultRowHeight="15"/>
  <cols>
    <col min="1" max="1" width="5.7109375" style="27" customWidth="1"/>
    <col min="2" max="2" width="43" style="27" customWidth="1"/>
    <col min="3" max="3" width="16" style="27" customWidth="1"/>
    <col min="4" max="4" width="20.5703125" style="100" customWidth="1"/>
    <col min="5" max="16384" width="8.85546875" style="27"/>
  </cols>
  <sheetData>
    <row r="1" spans="1:5">
      <c r="A1" s="27" t="str">
        <f>'1 Д 1 Н'!A1</f>
        <v>Утверждаю</v>
      </c>
      <c r="D1" s="100" t="str">
        <f>'5Д 1Н'!D1</f>
        <v>Согласовано</v>
      </c>
    </row>
    <row r="2" spans="1:5">
      <c r="A2" s="27" t="str">
        <f>'1 Д 1 Н'!A2</f>
        <v>Директор ООО "ВитаЛайн"</v>
      </c>
      <c r="D2" s="100" t="str">
        <f>'5Д 1Н'!D2</f>
        <v>Директор МБОУ _____________</v>
      </c>
    </row>
    <row r="3" spans="1:5">
      <c r="A3" s="27" t="str">
        <f>'1 Д 1 Н'!A3</f>
        <v>_____________Н.Н.Клоков</v>
      </c>
      <c r="D3" s="100" t="str">
        <f>'5Д 1Н'!D3</f>
        <v>______________/______________/</v>
      </c>
    </row>
    <row r="4" spans="1:5">
      <c r="A4" s="27" t="str">
        <f>'1 Д 1 Н'!A4</f>
        <v>"___"______________2023 г</v>
      </c>
      <c r="D4" s="100" t="str">
        <f>'5Д 1Н'!D4</f>
        <v>"_____"__________________2023 г.</v>
      </c>
    </row>
    <row r="8" spans="1:5" s="33" customFormat="1" ht="28.35" customHeight="1">
      <c r="B8" s="126" t="s">
        <v>78</v>
      </c>
      <c r="C8" s="126"/>
      <c r="D8" s="126"/>
      <c r="E8" s="50"/>
    </row>
    <row r="9" spans="1:5">
      <c r="A9" s="130" t="s">
        <v>28</v>
      </c>
      <c r="B9" s="120" t="s">
        <v>0</v>
      </c>
      <c r="C9" s="120" t="s">
        <v>1</v>
      </c>
      <c r="D9" s="120" t="s">
        <v>2</v>
      </c>
      <c r="E9" s="120" t="s">
        <v>77</v>
      </c>
    </row>
    <row r="10" spans="1:5" ht="15.75" thickBot="1">
      <c r="A10" s="131"/>
      <c r="B10" s="120"/>
      <c r="C10" s="120"/>
      <c r="D10" s="120"/>
      <c r="E10" s="144"/>
    </row>
    <row r="11" spans="1:5" ht="25.5">
      <c r="A11" s="34">
        <v>1</v>
      </c>
      <c r="B11" s="2" t="s">
        <v>29</v>
      </c>
      <c r="C11" s="4">
        <v>60</v>
      </c>
      <c r="D11" s="12">
        <f>10*60/100</f>
        <v>6</v>
      </c>
      <c r="E11" s="69">
        <v>10</v>
      </c>
    </row>
    <row r="12" spans="1:5" ht="13.9" customHeight="1">
      <c r="A12" s="34">
        <v>2</v>
      </c>
      <c r="B12" s="2" t="s">
        <v>44</v>
      </c>
      <c r="C12" s="3">
        <v>150</v>
      </c>
      <c r="D12" s="12">
        <f>915*0.15</f>
        <v>137.25</v>
      </c>
      <c r="E12" s="70">
        <v>20</v>
      </c>
    </row>
    <row r="13" spans="1:5">
      <c r="A13" s="34">
        <v>3</v>
      </c>
      <c r="B13" s="2" t="s">
        <v>114</v>
      </c>
      <c r="C13" s="3">
        <v>90</v>
      </c>
      <c r="D13" s="12">
        <f>159*0.9</f>
        <v>143.1</v>
      </c>
      <c r="E13" s="70">
        <v>39</v>
      </c>
    </row>
    <row r="14" spans="1:5">
      <c r="A14" s="34">
        <v>4</v>
      </c>
      <c r="B14" s="2" t="s">
        <v>66</v>
      </c>
      <c r="C14" s="3">
        <v>180</v>
      </c>
      <c r="D14" s="12">
        <f>146.6*180/200</f>
        <v>131.94</v>
      </c>
      <c r="E14" s="70">
        <v>10</v>
      </c>
    </row>
    <row r="15" spans="1:5">
      <c r="A15" s="34">
        <v>6</v>
      </c>
      <c r="B15" s="2" t="s">
        <v>5</v>
      </c>
      <c r="C15" s="3">
        <v>20</v>
      </c>
      <c r="D15" s="12">
        <f>118.4*20/50</f>
        <v>47.36</v>
      </c>
      <c r="E15" s="70">
        <v>2</v>
      </c>
    </row>
    <row r="16" spans="1:5">
      <c r="A16" s="34">
        <v>7</v>
      </c>
      <c r="B16" s="2" t="s">
        <v>6</v>
      </c>
      <c r="C16" s="3">
        <v>20</v>
      </c>
      <c r="D16" s="12">
        <v>40.799999999999997</v>
      </c>
      <c r="E16" s="70">
        <v>3</v>
      </c>
    </row>
    <row r="17" spans="1:5">
      <c r="A17" s="33"/>
      <c r="B17" s="17" t="s">
        <v>7</v>
      </c>
      <c r="C17" s="10">
        <v>520</v>
      </c>
      <c r="D17" s="19">
        <f t="shared" ref="D17" si="0">SUM(D11:D16)</f>
        <v>506.45000000000005</v>
      </c>
      <c r="E17" s="103">
        <f>SUM(E11:E16)</f>
        <v>84</v>
      </c>
    </row>
    <row r="18" spans="1:5">
      <c r="A18" s="33"/>
      <c r="B18" s="53"/>
      <c r="C18" s="56"/>
      <c r="D18" s="91"/>
    </row>
    <row r="19" spans="1:5" s="33" customFormat="1" ht="28.35" customHeight="1">
      <c r="B19" s="126" t="s">
        <v>79</v>
      </c>
      <c r="C19" s="126"/>
      <c r="D19" s="126"/>
      <c r="E19" s="50"/>
    </row>
    <row r="20" spans="1:5">
      <c r="A20" s="142" t="s">
        <v>28</v>
      </c>
      <c r="B20" s="127" t="s">
        <v>0</v>
      </c>
      <c r="C20" s="120" t="s">
        <v>1</v>
      </c>
      <c r="D20" s="120" t="s">
        <v>2</v>
      </c>
      <c r="E20" s="120" t="s">
        <v>77</v>
      </c>
    </row>
    <row r="21" spans="1:5" ht="15.75" thickBot="1">
      <c r="A21" s="143"/>
      <c r="B21" s="127"/>
      <c r="C21" s="120"/>
      <c r="D21" s="120"/>
      <c r="E21" s="144"/>
    </row>
    <row r="22" spans="1:5">
      <c r="A22" s="57">
        <v>1</v>
      </c>
      <c r="B22" s="2" t="s">
        <v>47</v>
      </c>
      <c r="C22" s="3">
        <v>60</v>
      </c>
      <c r="D22" s="12">
        <v>54</v>
      </c>
      <c r="E22" s="67">
        <v>10</v>
      </c>
    </row>
    <row r="23" spans="1:5">
      <c r="A23" s="34">
        <v>2</v>
      </c>
      <c r="B23" s="5" t="s">
        <v>45</v>
      </c>
      <c r="C23" s="6">
        <v>200</v>
      </c>
      <c r="D23" s="12">
        <f>381*0.2</f>
        <v>76.2</v>
      </c>
      <c r="E23" s="19">
        <v>20</v>
      </c>
    </row>
    <row r="24" spans="1:5">
      <c r="A24" s="34">
        <v>3</v>
      </c>
      <c r="B24" s="2" t="s">
        <v>46</v>
      </c>
      <c r="C24" s="3">
        <v>150</v>
      </c>
      <c r="D24" s="12">
        <f>209*150/125</f>
        <v>250.8</v>
      </c>
      <c r="E24" s="19">
        <v>15</v>
      </c>
    </row>
    <row r="25" spans="1:5">
      <c r="A25" s="34">
        <v>4</v>
      </c>
      <c r="B25" s="2" t="s">
        <v>94</v>
      </c>
      <c r="C25" s="3">
        <v>110</v>
      </c>
      <c r="D25" s="12">
        <f>221*110/100</f>
        <v>243.1</v>
      </c>
      <c r="E25" s="19">
        <v>43</v>
      </c>
    </row>
    <row r="26" spans="1:5">
      <c r="A26" s="34">
        <v>5</v>
      </c>
      <c r="B26" s="2" t="s">
        <v>43</v>
      </c>
      <c r="C26" s="6">
        <v>180</v>
      </c>
      <c r="D26" s="12">
        <f>593*0.18</f>
        <v>106.74</v>
      </c>
      <c r="E26" s="68">
        <v>10</v>
      </c>
    </row>
    <row r="27" spans="1:5">
      <c r="A27" s="34">
        <v>6</v>
      </c>
      <c r="B27" s="2" t="s">
        <v>82</v>
      </c>
      <c r="C27" s="3">
        <v>100</v>
      </c>
      <c r="D27" s="12">
        <f>56.4*100/120</f>
        <v>47</v>
      </c>
      <c r="E27" s="19">
        <v>10</v>
      </c>
    </row>
    <row r="28" spans="1:5">
      <c r="A28" s="34">
        <v>7</v>
      </c>
      <c r="B28" s="2" t="s">
        <v>25</v>
      </c>
      <c r="C28" s="3">
        <v>200</v>
      </c>
      <c r="D28" s="12">
        <v>52</v>
      </c>
      <c r="E28" s="19">
        <v>25</v>
      </c>
    </row>
    <row r="29" spans="1:5">
      <c r="A29" s="34">
        <v>8</v>
      </c>
      <c r="B29" s="2" t="s">
        <v>5</v>
      </c>
      <c r="C29" s="3">
        <v>30</v>
      </c>
      <c r="D29" s="12">
        <v>71</v>
      </c>
      <c r="E29" s="19">
        <v>3</v>
      </c>
    </row>
    <row r="30" spans="1:5">
      <c r="A30" s="34">
        <v>9</v>
      </c>
      <c r="B30" s="2" t="s">
        <v>6</v>
      </c>
      <c r="C30" s="3">
        <v>20</v>
      </c>
      <c r="D30" s="12">
        <v>40.799999999999997</v>
      </c>
      <c r="E30" s="19">
        <v>3</v>
      </c>
    </row>
    <row r="31" spans="1:5" s="30" customFormat="1" thickBot="1">
      <c r="A31" s="35"/>
      <c r="B31" s="17" t="s">
        <v>7</v>
      </c>
      <c r="C31" s="10">
        <f>SUM(C22:C30)</f>
        <v>1050</v>
      </c>
      <c r="D31" s="19">
        <f t="shared" ref="D31" si="1">SUM(D22:D30)</f>
        <v>941.64</v>
      </c>
      <c r="E31" s="79">
        <f>SUM(E22:E30)</f>
        <v>139</v>
      </c>
    </row>
    <row r="32" spans="1:5">
      <c r="A32" s="33"/>
      <c r="B32" s="53"/>
      <c r="C32" s="56"/>
      <c r="D32" s="91"/>
    </row>
    <row r="33" spans="1:6" s="33" customFormat="1" ht="28.35" customHeight="1">
      <c r="B33" s="126" t="s">
        <v>80</v>
      </c>
      <c r="C33" s="126"/>
      <c r="D33" s="126"/>
      <c r="E33" s="50"/>
    </row>
    <row r="34" spans="1:6">
      <c r="A34" s="140" t="s">
        <v>28</v>
      </c>
      <c r="B34" s="120" t="s">
        <v>0</v>
      </c>
      <c r="C34" s="120" t="s">
        <v>1</v>
      </c>
      <c r="D34" s="120" t="s">
        <v>2</v>
      </c>
      <c r="E34" s="120" t="s">
        <v>77</v>
      </c>
    </row>
    <row r="35" spans="1:6">
      <c r="A35" s="141"/>
      <c r="B35" s="120"/>
      <c r="C35" s="120"/>
      <c r="D35" s="120"/>
      <c r="E35" s="144"/>
    </row>
    <row r="36" spans="1:6">
      <c r="A36" s="58">
        <v>1</v>
      </c>
      <c r="B36" s="2" t="s">
        <v>49</v>
      </c>
      <c r="C36" s="3">
        <v>80</v>
      </c>
      <c r="D36" s="12">
        <v>187</v>
      </c>
      <c r="E36" s="62">
        <f>49.72-18</f>
        <v>31.72</v>
      </c>
    </row>
    <row r="37" spans="1:6">
      <c r="A37" s="34">
        <v>2</v>
      </c>
      <c r="B37" s="2" t="s">
        <v>50</v>
      </c>
      <c r="C37" s="3">
        <v>200</v>
      </c>
      <c r="D37" s="12">
        <v>62</v>
      </c>
      <c r="E37" s="62">
        <v>10</v>
      </c>
    </row>
    <row r="38" spans="1:6">
      <c r="A38" s="34">
        <v>3</v>
      </c>
      <c r="B38" s="2" t="s">
        <v>51</v>
      </c>
      <c r="C38" s="3">
        <v>20</v>
      </c>
      <c r="D38" s="12">
        <v>83.4</v>
      </c>
      <c r="E38" s="62">
        <f>6*20/15</f>
        <v>8</v>
      </c>
    </row>
    <row r="39" spans="1:6" s="30" customFormat="1" ht="14.25">
      <c r="A39" s="35"/>
      <c r="B39" s="17" t="s">
        <v>7</v>
      </c>
      <c r="C39" s="10">
        <v>300</v>
      </c>
      <c r="D39" s="19">
        <f t="shared" ref="D39" si="2">SUM(D36:D38)</f>
        <v>332.4</v>
      </c>
      <c r="E39" s="71">
        <f>SUM(E36:E38)</f>
        <v>49.72</v>
      </c>
    </row>
    <row r="42" spans="1:6">
      <c r="A42" s="43" t="str">
        <f>'1 Д 1 Н'!A38</f>
        <v xml:space="preserve">    Заведующий производством  _______________/  ______________/                              /</v>
      </c>
      <c r="B42" s="40"/>
      <c r="C42" s="46"/>
      <c r="D42" s="47"/>
    </row>
    <row r="43" spans="1:6" s="33" customFormat="1" ht="21.6" customHeight="1">
      <c r="A43" s="129" t="s">
        <v>84</v>
      </c>
      <c r="B43" s="124"/>
      <c r="C43" s="124"/>
      <c r="D43" s="124"/>
      <c r="E43" s="124"/>
      <c r="F43" s="39"/>
    </row>
    <row r="44" spans="1:6">
      <c r="A44" s="93" t="s">
        <v>85</v>
      </c>
      <c r="E44" s="92"/>
      <c r="F44" s="63"/>
    </row>
  </sheetData>
  <mergeCells count="19">
    <mergeCell ref="A43:E43"/>
    <mergeCell ref="B8:D8"/>
    <mergeCell ref="A9:A10"/>
    <mergeCell ref="B9:B10"/>
    <mergeCell ref="C9:C10"/>
    <mergeCell ref="D9:D10"/>
    <mergeCell ref="E9:E10"/>
    <mergeCell ref="E20:E21"/>
    <mergeCell ref="E34:E35"/>
    <mergeCell ref="A34:A35"/>
    <mergeCell ref="B34:B35"/>
    <mergeCell ref="C34:C35"/>
    <mergeCell ref="D34:D35"/>
    <mergeCell ref="B19:D19"/>
    <mergeCell ref="A20:A21"/>
    <mergeCell ref="B20:B21"/>
    <mergeCell ref="C20:C21"/>
    <mergeCell ref="D20:D21"/>
    <mergeCell ref="B33:D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topLeftCell="A10" workbookViewId="0">
      <selection activeCell="E25" sqref="E25"/>
    </sheetView>
  </sheetViews>
  <sheetFormatPr defaultColWidth="8.85546875" defaultRowHeight="15"/>
  <cols>
    <col min="1" max="1" width="5.7109375" style="27" customWidth="1"/>
    <col min="2" max="2" width="43" style="27" customWidth="1"/>
    <col min="3" max="3" width="16" style="27" customWidth="1"/>
    <col min="4" max="4" width="20.5703125" style="100" customWidth="1"/>
    <col min="5" max="5" width="11.28515625" style="27" customWidth="1"/>
    <col min="6" max="16384" width="8.85546875" style="27"/>
  </cols>
  <sheetData>
    <row r="1" spans="1:5">
      <c r="A1" s="27" t="str">
        <f>'1 Д 1 Н'!A1</f>
        <v>Утверждаю</v>
      </c>
      <c r="D1" s="100" t="str">
        <f>'5Д 1Н'!D1</f>
        <v>Согласовано</v>
      </c>
    </row>
    <row r="2" spans="1:5">
      <c r="A2" s="27" t="str">
        <f>'1 Д 1 Н'!A2</f>
        <v>Директор ООО "ВитаЛайн"</v>
      </c>
      <c r="D2" s="100" t="str">
        <f>'5Д 1Н'!D2</f>
        <v>Директор МБОУ _____________</v>
      </c>
    </row>
    <row r="3" spans="1:5">
      <c r="A3" s="27" t="str">
        <f>'1 Д 1 Н'!A3</f>
        <v>_____________Н.Н.Клоков</v>
      </c>
      <c r="D3" s="100" t="str">
        <f>'5Д 1Н'!D3</f>
        <v>______________/______________/</v>
      </c>
    </row>
    <row r="4" spans="1:5">
      <c r="A4" s="27" t="str">
        <f>'1 Д 1 Н'!A4</f>
        <v>"___"______________2023 г</v>
      </c>
      <c r="D4" s="100" t="str">
        <f>'5Д 1Н'!D4</f>
        <v>"_____"__________________2023 г.</v>
      </c>
    </row>
    <row r="8" spans="1:5" s="33" customFormat="1" ht="28.35" customHeight="1">
      <c r="B8" s="126" t="s">
        <v>78</v>
      </c>
      <c r="C8" s="126"/>
      <c r="D8" s="126"/>
      <c r="E8" s="50"/>
    </row>
    <row r="9" spans="1:5">
      <c r="A9" s="130" t="s">
        <v>28</v>
      </c>
      <c r="B9" s="120" t="s">
        <v>0</v>
      </c>
      <c r="C9" s="120" t="s">
        <v>1</v>
      </c>
      <c r="D9" s="120" t="s">
        <v>2</v>
      </c>
      <c r="E9" s="120" t="s">
        <v>77</v>
      </c>
    </row>
    <row r="10" spans="1:5" ht="15.75" thickBot="1">
      <c r="A10" s="131"/>
      <c r="B10" s="120"/>
      <c r="C10" s="120"/>
      <c r="D10" s="120"/>
      <c r="E10" s="144"/>
    </row>
    <row r="11" spans="1:5">
      <c r="A11" s="34">
        <v>1</v>
      </c>
      <c r="B11" s="2" t="s">
        <v>95</v>
      </c>
      <c r="C11" s="3">
        <v>100</v>
      </c>
      <c r="D11" s="12">
        <v>302.8</v>
      </c>
      <c r="E11" s="69">
        <v>15</v>
      </c>
    </row>
    <row r="12" spans="1:5" ht="25.5">
      <c r="A12" s="34">
        <v>2</v>
      </c>
      <c r="B12" s="2" t="s">
        <v>96</v>
      </c>
      <c r="C12" s="3">
        <v>150</v>
      </c>
      <c r="D12" s="12">
        <f>144*150/80</f>
        <v>270</v>
      </c>
      <c r="E12" s="70">
        <v>55</v>
      </c>
    </row>
    <row r="13" spans="1:5">
      <c r="A13" s="34">
        <v>3</v>
      </c>
      <c r="B13" s="5" t="s">
        <v>88</v>
      </c>
      <c r="C13" s="6">
        <v>200</v>
      </c>
      <c r="D13" s="12">
        <f>100</f>
        <v>100</v>
      </c>
      <c r="E13" s="70">
        <v>10</v>
      </c>
    </row>
    <row r="14" spans="1:5">
      <c r="A14" s="34">
        <v>4</v>
      </c>
      <c r="B14" s="2" t="s">
        <v>5</v>
      </c>
      <c r="C14" s="3">
        <v>30</v>
      </c>
      <c r="D14" s="12">
        <f>94.7*30/40</f>
        <v>71.025000000000006</v>
      </c>
      <c r="E14" s="70">
        <v>3</v>
      </c>
    </row>
    <row r="15" spans="1:5">
      <c r="A15" s="34">
        <v>6</v>
      </c>
      <c r="B15" s="2" t="s">
        <v>6</v>
      </c>
      <c r="C15" s="3">
        <v>20</v>
      </c>
      <c r="D15" s="12">
        <v>40.799999999999997</v>
      </c>
      <c r="E15" s="70">
        <v>3</v>
      </c>
    </row>
    <row r="16" spans="1:5">
      <c r="A16" s="34">
        <v>7</v>
      </c>
      <c r="B16" s="17" t="s">
        <v>7</v>
      </c>
      <c r="C16" s="10">
        <f>SUM(C11:C15)</f>
        <v>500</v>
      </c>
      <c r="D16" s="19">
        <v>590.83000000000004</v>
      </c>
      <c r="E16" s="70">
        <f>SUM(E11:E15)</f>
        <v>86</v>
      </c>
    </row>
    <row r="17" spans="1:5">
      <c r="A17" s="33"/>
      <c r="B17" s="53"/>
      <c r="C17" s="56"/>
      <c r="D17" s="91"/>
    </row>
    <row r="18" spans="1:5">
      <c r="A18" s="33"/>
      <c r="B18" s="53"/>
      <c r="C18" s="56"/>
      <c r="D18" s="91"/>
    </row>
    <row r="19" spans="1:5" s="33" customFormat="1" ht="28.35" customHeight="1">
      <c r="B19" s="126" t="s">
        <v>79</v>
      </c>
      <c r="C19" s="126"/>
      <c r="D19" s="126"/>
      <c r="E19" s="50"/>
    </row>
    <row r="20" spans="1:5" ht="13.9" customHeight="1">
      <c r="A20" s="142" t="s">
        <v>28</v>
      </c>
      <c r="B20" s="127" t="s">
        <v>0</v>
      </c>
      <c r="C20" s="120" t="s">
        <v>1</v>
      </c>
      <c r="D20" s="120" t="s">
        <v>2</v>
      </c>
      <c r="E20" s="120" t="s">
        <v>77</v>
      </c>
    </row>
    <row r="21" spans="1:5" ht="15.75" thickBot="1">
      <c r="A21" s="143"/>
      <c r="B21" s="127"/>
      <c r="C21" s="120"/>
      <c r="D21" s="120"/>
      <c r="E21" s="144"/>
    </row>
    <row r="22" spans="1:5">
      <c r="A22" s="57">
        <v>1</v>
      </c>
      <c r="B22" s="2" t="s">
        <v>52</v>
      </c>
      <c r="C22" s="4">
        <v>60</v>
      </c>
      <c r="D22" s="12">
        <f>591*0.06</f>
        <v>35.46</v>
      </c>
      <c r="E22" s="67">
        <v>10</v>
      </c>
    </row>
    <row r="23" spans="1:5">
      <c r="A23" s="34">
        <v>2</v>
      </c>
      <c r="B23" s="2" t="s">
        <v>53</v>
      </c>
      <c r="C23" s="3">
        <v>200</v>
      </c>
      <c r="D23" s="12">
        <f>511*0.2</f>
        <v>102.2</v>
      </c>
      <c r="E23" s="19">
        <v>20</v>
      </c>
    </row>
    <row r="24" spans="1:5">
      <c r="A24" s="34">
        <v>3</v>
      </c>
      <c r="B24" s="2" t="s">
        <v>54</v>
      </c>
      <c r="C24" s="3">
        <v>150</v>
      </c>
      <c r="D24" s="12">
        <f>180*150/125</f>
        <v>216</v>
      </c>
      <c r="E24" s="19">
        <v>22</v>
      </c>
    </row>
    <row r="25" spans="1:5">
      <c r="A25" s="34">
        <v>4</v>
      </c>
      <c r="B25" s="2" t="s">
        <v>109</v>
      </c>
      <c r="C25" s="4">
        <v>115</v>
      </c>
      <c r="D25" s="12">
        <v>165.31</v>
      </c>
      <c r="E25" s="19">
        <v>40</v>
      </c>
    </row>
    <row r="26" spans="1:5">
      <c r="A26" s="34">
        <v>5</v>
      </c>
      <c r="B26" s="5" t="s">
        <v>20</v>
      </c>
      <c r="C26" s="6">
        <v>180</v>
      </c>
      <c r="D26" s="18">
        <f>503*0.2</f>
        <v>100.60000000000001</v>
      </c>
      <c r="E26" s="68">
        <v>10</v>
      </c>
    </row>
    <row r="27" spans="1:5">
      <c r="A27" s="34">
        <v>6</v>
      </c>
      <c r="B27" s="2" t="s">
        <v>5</v>
      </c>
      <c r="C27" s="3">
        <v>50</v>
      </c>
      <c r="D27" s="12">
        <v>118.4</v>
      </c>
      <c r="E27" s="19">
        <v>5</v>
      </c>
    </row>
    <row r="28" spans="1:5">
      <c r="A28" s="34">
        <v>7</v>
      </c>
      <c r="B28" s="2" t="s">
        <v>6</v>
      </c>
      <c r="C28" s="3">
        <v>30</v>
      </c>
      <c r="D28" s="12">
        <v>61.2</v>
      </c>
      <c r="E28" s="19">
        <v>4.5</v>
      </c>
    </row>
    <row r="29" spans="1:5" s="30" customFormat="1" thickBot="1">
      <c r="A29" s="35"/>
      <c r="B29" s="17" t="s">
        <v>7</v>
      </c>
      <c r="C29" s="16">
        <f>SUM(C22:C28)</f>
        <v>785</v>
      </c>
      <c r="D29" s="19">
        <f>SUM(D22:D28)</f>
        <v>799.17000000000007</v>
      </c>
      <c r="E29" s="79">
        <f>SUM(E22:E28)</f>
        <v>111.5</v>
      </c>
    </row>
    <row r="30" spans="1:5">
      <c r="A30" s="33"/>
      <c r="B30" s="53"/>
      <c r="C30" s="56"/>
      <c r="D30" s="91"/>
    </row>
    <row r="31" spans="1:5">
      <c r="A31" s="33"/>
      <c r="B31" s="53"/>
      <c r="C31" s="56"/>
      <c r="D31" s="91"/>
    </row>
    <row r="32" spans="1:5" s="33" customFormat="1" ht="28.35" customHeight="1">
      <c r="B32" s="126" t="s">
        <v>80</v>
      </c>
      <c r="C32" s="126"/>
      <c r="D32" s="126"/>
      <c r="E32" s="50"/>
    </row>
    <row r="33" spans="1:6">
      <c r="A33" s="140" t="s">
        <v>28</v>
      </c>
      <c r="B33" s="120" t="s">
        <v>0</v>
      </c>
      <c r="C33" s="120" t="s">
        <v>1</v>
      </c>
      <c r="D33" s="146" t="s">
        <v>2</v>
      </c>
      <c r="E33" s="145" t="s">
        <v>77</v>
      </c>
    </row>
    <row r="34" spans="1:6">
      <c r="A34" s="141"/>
      <c r="B34" s="120"/>
      <c r="C34" s="120"/>
      <c r="D34" s="146"/>
      <c r="E34" s="145"/>
    </row>
    <row r="35" spans="1:6">
      <c r="A35" s="58">
        <v>1</v>
      </c>
      <c r="B35" s="2" t="s">
        <v>55</v>
      </c>
      <c r="C35" s="3">
        <v>150</v>
      </c>
      <c r="D35" s="12">
        <v>210</v>
      </c>
      <c r="E35" s="72">
        <f>49.72-12</f>
        <v>37.72</v>
      </c>
    </row>
    <row r="36" spans="1:6">
      <c r="A36" s="34">
        <v>2</v>
      </c>
      <c r="B36" s="2" t="s">
        <v>56</v>
      </c>
      <c r="C36" s="3">
        <v>180</v>
      </c>
      <c r="D36" s="12">
        <f>61.9*180/200</f>
        <v>55.71</v>
      </c>
      <c r="E36" s="72">
        <v>10</v>
      </c>
    </row>
    <row r="37" spans="1:6">
      <c r="A37" s="34">
        <v>3</v>
      </c>
      <c r="B37" s="2" t="s">
        <v>5</v>
      </c>
      <c r="C37" s="3">
        <v>20</v>
      </c>
      <c r="D37" s="12">
        <v>47.4</v>
      </c>
      <c r="E37" s="72">
        <v>2</v>
      </c>
    </row>
    <row r="38" spans="1:6" s="30" customFormat="1" ht="14.25">
      <c r="A38" s="35"/>
      <c r="B38" s="17" t="s">
        <v>7</v>
      </c>
      <c r="C38" s="10">
        <f>SUM(C35:C37)</f>
        <v>350</v>
      </c>
      <c r="D38" s="19">
        <f t="shared" ref="D38" si="0">SUM(D35:D37)</f>
        <v>313.10999999999996</v>
      </c>
      <c r="E38" s="45">
        <f>SUM(E35:E37)</f>
        <v>49.72</v>
      </c>
    </row>
    <row r="41" spans="1:6">
      <c r="A41" s="43" t="str">
        <f>'1 Д 1 Н'!A38</f>
        <v xml:space="preserve">    Заведующий производством  _______________/  ______________/                              /</v>
      </c>
      <c r="B41" s="40"/>
      <c r="C41" s="46"/>
      <c r="D41" s="47"/>
    </row>
    <row r="42" spans="1:6" s="33" customFormat="1" ht="21.6" customHeight="1">
      <c r="A42" s="129" t="s">
        <v>84</v>
      </c>
      <c r="B42" s="124"/>
      <c r="C42" s="124"/>
      <c r="D42" s="124"/>
      <c r="E42" s="124"/>
      <c r="F42" s="39"/>
    </row>
    <row r="43" spans="1:6">
      <c r="A43" s="93" t="s">
        <v>85</v>
      </c>
      <c r="E43" s="92"/>
      <c r="F43" s="63"/>
    </row>
  </sheetData>
  <mergeCells count="19">
    <mergeCell ref="B8:D8"/>
    <mergeCell ref="A9:A10"/>
    <mergeCell ref="B9:B10"/>
    <mergeCell ref="C9:C10"/>
    <mergeCell ref="D9:D10"/>
    <mergeCell ref="A42:E42"/>
    <mergeCell ref="E9:E10"/>
    <mergeCell ref="E20:E21"/>
    <mergeCell ref="E33:E34"/>
    <mergeCell ref="A33:A34"/>
    <mergeCell ref="B33:B34"/>
    <mergeCell ref="C33:C34"/>
    <mergeCell ref="D33:D34"/>
    <mergeCell ref="B19:D19"/>
    <mergeCell ref="A20:A21"/>
    <mergeCell ref="B20:B21"/>
    <mergeCell ref="C20:C21"/>
    <mergeCell ref="D20:D21"/>
    <mergeCell ref="B32:D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topLeftCell="A22" workbookViewId="0">
      <selection activeCell="F24" sqref="F24"/>
    </sheetView>
  </sheetViews>
  <sheetFormatPr defaultColWidth="8.85546875" defaultRowHeight="15"/>
  <cols>
    <col min="1" max="1" width="5.7109375" style="27" customWidth="1"/>
    <col min="2" max="2" width="43" style="27" customWidth="1"/>
    <col min="3" max="3" width="16" style="27" customWidth="1"/>
    <col min="4" max="4" width="20.5703125" style="100" customWidth="1"/>
    <col min="5" max="5" width="11.28515625" style="27" customWidth="1"/>
    <col min="6" max="16384" width="8.85546875" style="27"/>
  </cols>
  <sheetData>
    <row r="1" spans="1:5">
      <c r="A1" s="27" t="str">
        <f>'1 Д 1 Н'!A1</f>
        <v>Утверждаю</v>
      </c>
      <c r="D1" s="100" t="str">
        <f>'5Д 1Н'!D1</f>
        <v>Согласовано</v>
      </c>
    </row>
    <row r="2" spans="1:5">
      <c r="A2" s="27" t="str">
        <f>'1 Д 1 Н'!A2</f>
        <v>Директор ООО "ВитаЛайн"</v>
      </c>
      <c r="D2" s="100" t="str">
        <f>'5Д 1Н'!D2</f>
        <v>Директор МБОУ _____________</v>
      </c>
    </row>
    <row r="3" spans="1:5">
      <c r="A3" s="27" t="str">
        <f>'1 Д 1 Н'!A3</f>
        <v>_____________Н.Н.Клоков</v>
      </c>
      <c r="D3" s="100" t="str">
        <f>'5Д 1Н'!D3</f>
        <v>______________/______________/</v>
      </c>
    </row>
    <row r="4" spans="1:5">
      <c r="A4" s="27" t="str">
        <f>'1 Д 1 Н'!A4</f>
        <v>"___"______________2023 г</v>
      </c>
      <c r="D4" s="100" t="str">
        <f>'5Д 1Н'!D4</f>
        <v>"_____"__________________2023 г.</v>
      </c>
    </row>
    <row r="8" spans="1:5" s="33" customFormat="1" ht="28.35" customHeight="1">
      <c r="B8" s="126" t="s">
        <v>78</v>
      </c>
      <c r="C8" s="126"/>
      <c r="D8" s="126"/>
      <c r="E8" s="50"/>
    </row>
    <row r="9" spans="1:5">
      <c r="A9" s="151" t="s">
        <v>28</v>
      </c>
      <c r="B9" s="148" t="s">
        <v>0</v>
      </c>
      <c r="C9" s="148" t="s">
        <v>1</v>
      </c>
      <c r="D9" s="148" t="s">
        <v>2</v>
      </c>
      <c r="E9" s="145" t="s">
        <v>77</v>
      </c>
    </row>
    <row r="10" spans="1:5" ht="15.75" thickBot="1">
      <c r="A10" s="152"/>
      <c r="B10" s="148"/>
      <c r="C10" s="148"/>
      <c r="D10" s="148"/>
      <c r="E10" s="145"/>
    </row>
    <row r="11" spans="1:5">
      <c r="A11" s="8">
        <v>1</v>
      </c>
      <c r="B11" s="2" t="s">
        <v>57</v>
      </c>
      <c r="C11" s="3">
        <v>60</v>
      </c>
      <c r="D11" s="12">
        <f>953*0.06</f>
        <v>57.18</v>
      </c>
      <c r="E11" s="69">
        <v>10</v>
      </c>
    </row>
    <row r="12" spans="1:5">
      <c r="A12" s="8">
        <v>2</v>
      </c>
      <c r="B12" s="2" t="s">
        <v>44</v>
      </c>
      <c r="C12" s="3">
        <v>150</v>
      </c>
      <c r="D12" s="12">
        <f>915*0.15</f>
        <v>137.25</v>
      </c>
      <c r="E12" s="70">
        <v>20</v>
      </c>
    </row>
    <row r="13" spans="1:5">
      <c r="A13" s="8">
        <v>3</v>
      </c>
      <c r="B13" s="2" t="s">
        <v>58</v>
      </c>
      <c r="C13" s="3">
        <v>120</v>
      </c>
      <c r="D13" s="12">
        <f>145.9</f>
        <v>145.9</v>
      </c>
      <c r="E13" s="70">
        <v>45</v>
      </c>
    </row>
    <row r="14" spans="1:5">
      <c r="A14" s="8">
        <v>4</v>
      </c>
      <c r="B14" s="2" t="s">
        <v>43</v>
      </c>
      <c r="C14" s="3">
        <v>180</v>
      </c>
      <c r="D14" s="12">
        <f>593*0.18</f>
        <v>106.74</v>
      </c>
      <c r="E14" s="70">
        <v>10</v>
      </c>
    </row>
    <row r="15" spans="1:5">
      <c r="A15" s="8">
        <v>6</v>
      </c>
      <c r="B15" s="2" t="s">
        <v>5</v>
      </c>
      <c r="C15" s="3">
        <v>20</v>
      </c>
      <c r="D15" s="12">
        <v>47.4</v>
      </c>
      <c r="E15" s="70">
        <v>2</v>
      </c>
    </row>
    <row r="16" spans="1:5">
      <c r="A16" s="8">
        <v>7</v>
      </c>
      <c r="B16" s="2" t="s">
        <v>6</v>
      </c>
      <c r="C16" s="3">
        <v>20</v>
      </c>
      <c r="D16" s="12">
        <v>40.799999999999997</v>
      </c>
      <c r="E16" s="70">
        <v>3</v>
      </c>
    </row>
    <row r="17" spans="1:5">
      <c r="A17" s="9">
        <v>8</v>
      </c>
      <c r="B17" s="17" t="s">
        <v>7</v>
      </c>
      <c r="C17" s="10">
        <f>SUM(C11:C16)</f>
        <v>550</v>
      </c>
      <c r="D17" s="19">
        <f t="shared" ref="D17" si="0">SUM(D11:D16)</f>
        <v>535.27</v>
      </c>
      <c r="E17" s="70">
        <f>SUM(E11:E16)</f>
        <v>90</v>
      </c>
    </row>
    <row r="18" spans="1:5">
      <c r="A18" s="1"/>
      <c r="B18" s="25"/>
      <c r="C18" s="26"/>
      <c r="D18" s="102"/>
    </row>
    <row r="19" spans="1:5" s="33" customFormat="1" ht="28.35" customHeight="1">
      <c r="B19" s="126" t="s">
        <v>79</v>
      </c>
      <c r="C19" s="126"/>
      <c r="D19" s="126"/>
      <c r="E19" s="50"/>
    </row>
    <row r="20" spans="1:5">
      <c r="A20" s="149" t="s">
        <v>28</v>
      </c>
      <c r="B20" s="150" t="s">
        <v>0</v>
      </c>
      <c r="C20" s="148" t="s">
        <v>1</v>
      </c>
      <c r="D20" s="148" t="s">
        <v>2</v>
      </c>
      <c r="E20" s="145" t="s">
        <v>77</v>
      </c>
    </row>
    <row r="21" spans="1:5" ht="15.75" thickBot="1">
      <c r="A21" s="143"/>
      <c r="B21" s="150"/>
      <c r="C21" s="148"/>
      <c r="D21" s="148"/>
      <c r="E21" s="145"/>
    </row>
    <row r="22" spans="1:5">
      <c r="A22" s="57">
        <v>1</v>
      </c>
      <c r="B22" s="2" t="s">
        <v>59</v>
      </c>
      <c r="C22" s="4">
        <v>60</v>
      </c>
      <c r="D22" s="12">
        <f>1251*0.06</f>
        <v>75.06</v>
      </c>
      <c r="E22" s="69">
        <v>10</v>
      </c>
    </row>
    <row r="23" spans="1:5" ht="25.5">
      <c r="A23" s="8">
        <v>2</v>
      </c>
      <c r="B23" s="2" t="s">
        <v>60</v>
      </c>
      <c r="C23" s="3">
        <v>200</v>
      </c>
      <c r="D23" s="12">
        <f>473*0.2</f>
        <v>94.600000000000009</v>
      </c>
      <c r="E23" s="70">
        <v>20</v>
      </c>
    </row>
    <row r="24" spans="1:5">
      <c r="A24" s="8">
        <v>3</v>
      </c>
      <c r="B24" s="2" t="s">
        <v>61</v>
      </c>
      <c r="C24" s="3">
        <v>150</v>
      </c>
      <c r="D24" s="12">
        <f>884*0.15</f>
        <v>132.6</v>
      </c>
      <c r="E24" s="70">
        <v>17</v>
      </c>
    </row>
    <row r="25" spans="1:5" ht="25.5">
      <c r="A25" s="8">
        <v>4</v>
      </c>
      <c r="B25" s="2" t="s">
        <v>97</v>
      </c>
      <c r="C25" s="3">
        <v>110</v>
      </c>
      <c r="D25" s="12">
        <f>181*110/100</f>
        <v>199.1</v>
      </c>
      <c r="E25" s="70">
        <v>35</v>
      </c>
    </row>
    <row r="26" spans="1:5">
      <c r="A26" s="8">
        <v>5</v>
      </c>
      <c r="B26" s="2" t="s">
        <v>50</v>
      </c>
      <c r="C26" s="3">
        <v>180</v>
      </c>
      <c r="D26" s="12">
        <f>62*180/200</f>
        <v>55.8</v>
      </c>
      <c r="E26" s="70">
        <v>10</v>
      </c>
    </row>
    <row r="27" spans="1:5">
      <c r="A27" s="8">
        <v>6</v>
      </c>
      <c r="B27" s="59" t="s">
        <v>25</v>
      </c>
      <c r="C27" s="60">
        <v>200</v>
      </c>
      <c r="D27" s="61">
        <v>52</v>
      </c>
      <c r="E27" s="73">
        <v>25</v>
      </c>
    </row>
    <row r="28" spans="1:5">
      <c r="A28" s="8">
        <v>7</v>
      </c>
      <c r="B28" s="2" t="s">
        <v>82</v>
      </c>
      <c r="C28" s="3">
        <v>120</v>
      </c>
      <c r="D28" s="12">
        <v>56.4</v>
      </c>
      <c r="E28" s="70">
        <v>12</v>
      </c>
    </row>
    <row r="29" spans="1:5">
      <c r="A29" s="8">
        <v>8</v>
      </c>
      <c r="B29" s="2" t="s">
        <v>5</v>
      </c>
      <c r="C29" s="3">
        <v>30</v>
      </c>
      <c r="D29" s="12">
        <v>71</v>
      </c>
      <c r="E29" s="70">
        <v>3</v>
      </c>
    </row>
    <row r="30" spans="1:5">
      <c r="A30" s="8">
        <v>9</v>
      </c>
      <c r="B30" s="2" t="s">
        <v>6</v>
      </c>
      <c r="C30" s="3">
        <v>30</v>
      </c>
      <c r="D30" s="12">
        <v>61.2</v>
      </c>
      <c r="E30" s="70">
        <v>4.5</v>
      </c>
    </row>
    <row r="31" spans="1:5" s="30" customFormat="1" thickBot="1">
      <c r="A31" s="9"/>
      <c r="B31" s="17" t="s">
        <v>7</v>
      </c>
      <c r="C31" s="10">
        <f>SUM(C22:C30)</f>
        <v>1080</v>
      </c>
      <c r="D31" s="19">
        <f>SUM(D22:D30)</f>
        <v>797.76</v>
      </c>
      <c r="E31" s="81">
        <f>SUM(E22:E30)</f>
        <v>136.5</v>
      </c>
    </row>
    <row r="32" spans="1:5">
      <c r="A32" s="9"/>
      <c r="B32" s="17"/>
      <c r="C32" s="10"/>
      <c r="D32" s="19"/>
    </row>
    <row r="33" spans="1:6">
      <c r="A33" s="1"/>
      <c r="B33" s="25"/>
      <c r="C33" s="26"/>
      <c r="D33" s="102"/>
    </row>
    <row r="34" spans="1:6" s="33" customFormat="1" ht="28.35" customHeight="1">
      <c r="B34" s="126" t="s">
        <v>80</v>
      </c>
      <c r="C34" s="126"/>
      <c r="D34" s="126"/>
      <c r="E34" s="50"/>
    </row>
    <row r="35" spans="1:6">
      <c r="A35" s="147" t="s">
        <v>28</v>
      </c>
      <c r="B35" s="148" t="s">
        <v>0</v>
      </c>
      <c r="C35" s="148" t="s">
        <v>1</v>
      </c>
      <c r="D35" s="148" t="s">
        <v>2</v>
      </c>
      <c r="E35" s="145" t="s">
        <v>77</v>
      </c>
    </row>
    <row r="36" spans="1:6">
      <c r="A36" s="141"/>
      <c r="B36" s="148"/>
      <c r="C36" s="148"/>
      <c r="D36" s="148"/>
      <c r="E36" s="145"/>
    </row>
    <row r="37" spans="1:6" ht="25.5">
      <c r="A37" s="58">
        <v>1</v>
      </c>
      <c r="B37" s="2" t="s">
        <v>98</v>
      </c>
      <c r="C37" s="3">
        <v>150</v>
      </c>
      <c r="D37" s="12">
        <v>245.8</v>
      </c>
      <c r="E37" s="77">
        <f>49.72-12</f>
        <v>37.72</v>
      </c>
    </row>
    <row r="38" spans="1:6">
      <c r="A38" s="8">
        <v>2</v>
      </c>
      <c r="B38" s="2" t="s">
        <v>30</v>
      </c>
      <c r="C38" s="3">
        <v>180</v>
      </c>
      <c r="D38" s="12">
        <f>83.4*180/200</f>
        <v>75.06</v>
      </c>
      <c r="E38" s="77">
        <v>10</v>
      </c>
    </row>
    <row r="39" spans="1:6">
      <c r="A39" s="8">
        <v>3</v>
      </c>
      <c r="B39" s="2" t="s">
        <v>5</v>
      </c>
      <c r="C39" s="3">
        <v>20</v>
      </c>
      <c r="D39" s="12">
        <v>47.4</v>
      </c>
      <c r="E39" s="77">
        <v>2</v>
      </c>
    </row>
    <row r="40" spans="1:6" s="30" customFormat="1" ht="14.25">
      <c r="A40" s="9"/>
      <c r="B40" s="17" t="s">
        <v>7</v>
      </c>
      <c r="C40" s="10">
        <f>SUM(C37:C39)</f>
        <v>350</v>
      </c>
      <c r="D40" s="19">
        <v>376.6</v>
      </c>
      <c r="E40" s="70">
        <v>49.72</v>
      </c>
    </row>
    <row r="42" spans="1:6">
      <c r="A42" s="20" t="str">
        <f>'1 Д 1 Н'!A38</f>
        <v xml:space="preserve">    Заведующий производством  _______________/  ______________/                              /</v>
      </c>
      <c r="B42" s="13"/>
      <c r="C42" s="21"/>
      <c r="D42" s="22"/>
    </row>
    <row r="43" spans="1:6" s="33" customFormat="1" ht="21.6" customHeight="1">
      <c r="A43" s="129" t="s">
        <v>84</v>
      </c>
      <c r="B43" s="124"/>
      <c r="C43" s="124"/>
      <c r="D43" s="124"/>
      <c r="E43" s="124"/>
      <c r="F43" s="39"/>
    </row>
    <row r="44" spans="1:6">
      <c r="A44" s="93" t="s">
        <v>85</v>
      </c>
      <c r="E44" s="92"/>
      <c r="F44" s="63"/>
    </row>
  </sheetData>
  <mergeCells count="19">
    <mergeCell ref="B8:D8"/>
    <mergeCell ref="A9:A10"/>
    <mergeCell ref="B9:B10"/>
    <mergeCell ref="C9:C10"/>
    <mergeCell ref="D9:D10"/>
    <mergeCell ref="A43:E43"/>
    <mergeCell ref="E9:E10"/>
    <mergeCell ref="E20:E21"/>
    <mergeCell ref="E35:E36"/>
    <mergeCell ref="A35:A36"/>
    <mergeCell ref="B35:B36"/>
    <mergeCell ref="C35:C36"/>
    <mergeCell ref="D35:D36"/>
    <mergeCell ref="B19:D19"/>
    <mergeCell ref="A20:A21"/>
    <mergeCell ref="B20:B21"/>
    <mergeCell ref="C20:C21"/>
    <mergeCell ref="D20:D21"/>
    <mergeCell ref="B34:D3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topLeftCell="A19" workbookViewId="0">
      <selection activeCell="E22" sqref="E22:E29"/>
    </sheetView>
  </sheetViews>
  <sheetFormatPr defaultColWidth="8.85546875" defaultRowHeight="15"/>
  <cols>
    <col min="1" max="1" width="5.7109375" style="27" customWidth="1"/>
    <col min="2" max="2" width="43" style="27" customWidth="1"/>
    <col min="3" max="3" width="16" style="27" customWidth="1"/>
    <col min="4" max="4" width="20.5703125" style="100" customWidth="1"/>
    <col min="5" max="5" width="10.5703125" style="27" customWidth="1"/>
    <col min="6" max="16384" width="8.85546875" style="27"/>
  </cols>
  <sheetData>
    <row r="1" spans="1:5">
      <c r="A1" s="27" t="str">
        <f>'1 Д 1 Н'!A1</f>
        <v>Утверждаю</v>
      </c>
      <c r="D1" s="100" t="str">
        <f>'5Д 1Н'!D1</f>
        <v>Согласовано</v>
      </c>
    </row>
    <row r="2" spans="1:5">
      <c r="A2" s="27" t="str">
        <f>'1 Д 1 Н'!A2</f>
        <v>Директор ООО "ВитаЛайн"</v>
      </c>
      <c r="D2" s="100" t="str">
        <f>'5Д 1Н'!D2</f>
        <v>Директор МБОУ _____________</v>
      </c>
    </row>
    <row r="3" spans="1:5">
      <c r="A3" s="27" t="str">
        <f>'1 Д 1 Н'!A3</f>
        <v>_____________Н.Н.Клоков</v>
      </c>
      <c r="D3" s="100" t="str">
        <f>'5Д 1Н'!D3</f>
        <v>______________/______________/</v>
      </c>
    </row>
    <row r="4" spans="1:5">
      <c r="A4" s="27" t="str">
        <f>'1 Д 1 Н'!A4</f>
        <v>"___"______________2023 г</v>
      </c>
      <c r="D4" s="100" t="str">
        <f>'5Д 1Н'!D4</f>
        <v>"_____"__________________2023 г.</v>
      </c>
    </row>
    <row r="8" spans="1:5" s="33" customFormat="1" ht="28.35" customHeight="1">
      <c r="B8" s="126" t="s">
        <v>78</v>
      </c>
      <c r="C8" s="126"/>
      <c r="D8" s="126"/>
      <c r="E8" s="50"/>
    </row>
    <row r="9" spans="1:5">
      <c r="A9" s="130" t="s">
        <v>28</v>
      </c>
      <c r="B9" s="120" t="s">
        <v>0</v>
      </c>
      <c r="C9" s="120" t="s">
        <v>1</v>
      </c>
      <c r="D9" s="120" t="s">
        <v>2</v>
      </c>
      <c r="E9" s="145" t="s">
        <v>77</v>
      </c>
    </row>
    <row r="10" spans="1:5" ht="15.75" thickBot="1">
      <c r="A10" s="131"/>
      <c r="B10" s="120"/>
      <c r="C10" s="144"/>
      <c r="D10" s="144"/>
      <c r="E10" s="145"/>
    </row>
    <row r="11" spans="1:5">
      <c r="A11" s="34">
        <v>1</v>
      </c>
      <c r="B11" s="2" t="s">
        <v>99</v>
      </c>
      <c r="C11" s="3">
        <v>100</v>
      </c>
      <c r="D11" s="12">
        <f>107*100/75</f>
        <v>142.66666666666666</v>
      </c>
      <c r="E11" s="69">
        <v>10</v>
      </c>
    </row>
    <row r="12" spans="1:5" ht="25.5">
      <c r="A12" s="34">
        <v>2</v>
      </c>
      <c r="B12" s="2" t="s">
        <v>62</v>
      </c>
      <c r="C12" s="3">
        <v>150</v>
      </c>
      <c r="D12" s="12">
        <f>186*150/135</f>
        <v>206.66666666666666</v>
      </c>
      <c r="E12" s="70">
        <v>42</v>
      </c>
    </row>
    <row r="13" spans="1:5">
      <c r="A13" s="34">
        <v>3</v>
      </c>
      <c r="B13" s="5" t="s">
        <v>100</v>
      </c>
      <c r="C13" s="3">
        <v>55</v>
      </c>
      <c r="D13" s="12">
        <v>156</v>
      </c>
      <c r="E13" s="70">
        <v>15</v>
      </c>
    </row>
    <row r="14" spans="1:5">
      <c r="A14" s="34">
        <v>4</v>
      </c>
      <c r="B14" s="5" t="s">
        <v>48</v>
      </c>
      <c r="C14" s="3">
        <v>180</v>
      </c>
      <c r="D14" s="18">
        <f>503*0.18</f>
        <v>90.539999999999992</v>
      </c>
      <c r="E14" s="70">
        <v>10</v>
      </c>
    </row>
    <row r="15" spans="1:5">
      <c r="A15" s="34">
        <v>6</v>
      </c>
      <c r="B15" s="2" t="s">
        <v>6</v>
      </c>
      <c r="C15" s="3">
        <v>20</v>
      </c>
      <c r="D15" s="12">
        <v>40.799999999999997</v>
      </c>
      <c r="E15" s="70">
        <v>3</v>
      </c>
    </row>
    <row r="16" spans="1:5" s="30" customFormat="1" thickBot="1">
      <c r="A16" s="35"/>
      <c r="B16" s="88" t="s">
        <v>7</v>
      </c>
      <c r="C16" s="89">
        <f>SUM(C11:C15)</f>
        <v>505</v>
      </c>
      <c r="D16" s="19">
        <f>SUM(D10:D15)</f>
        <v>636.67333333333329</v>
      </c>
      <c r="E16" s="81">
        <f>SUM(E11:E15)</f>
        <v>80</v>
      </c>
    </row>
    <row r="17" spans="1:5">
      <c r="A17" s="33"/>
      <c r="B17" s="53"/>
      <c r="C17" s="56"/>
      <c r="D17" s="91"/>
    </row>
    <row r="18" spans="1:5">
      <c r="A18" s="33"/>
      <c r="B18" s="53"/>
      <c r="C18" s="56"/>
      <c r="D18" s="91"/>
      <c r="E18" s="30"/>
    </row>
    <row r="19" spans="1:5" s="33" customFormat="1" ht="28.35" customHeight="1">
      <c r="B19" s="126" t="s">
        <v>79</v>
      </c>
      <c r="C19" s="126"/>
      <c r="D19" s="126"/>
      <c r="E19" s="50"/>
    </row>
    <row r="20" spans="1:5">
      <c r="A20" s="142" t="s">
        <v>28</v>
      </c>
      <c r="B20" s="127" t="s">
        <v>0</v>
      </c>
      <c r="C20" s="120" t="s">
        <v>1</v>
      </c>
      <c r="D20" s="120" t="s">
        <v>2</v>
      </c>
      <c r="E20" s="145" t="s">
        <v>77</v>
      </c>
    </row>
    <row r="21" spans="1:5" ht="15.75" thickBot="1">
      <c r="A21" s="143"/>
      <c r="B21" s="127"/>
      <c r="C21" s="120"/>
      <c r="D21" s="120"/>
      <c r="E21" s="145"/>
    </row>
    <row r="22" spans="1:5" ht="25.5">
      <c r="A22" s="57">
        <v>1</v>
      </c>
      <c r="B22" s="59" t="s">
        <v>63</v>
      </c>
      <c r="C22" s="60">
        <v>60</v>
      </c>
      <c r="D22" s="61">
        <f>901*0.06</f>
        <v>54.059999999999995</v>
      </c>
      <c r="E22" s="156">
        <v>10</v>
      </c>
    </row>
    <row r="23" spans="1:5">
      <c r="A23" s="34">
        <v>2</v>
      </c>
      <c r="B23" s="5" t="s">
        <v>45</v>
      </c>
      <c r="C23" s="6">
        <v>200</v>
      </c>
      <c r="D23" s="12">
        <f>381*0.2</f>
        <v>76.2</v>
      </c>
      <c r="E23" s="157">
        <v>20</v>
      </c>
    </row>
    <row r="24" spans="1:5">
      <c r="A24" s="34">
        <v>3</v>
      </c>
      <c r="B24" s="2" t="s">
        <v>64</v>
      </c>
      <c r="C24" s="3">
        <v>150</v>
      </c>
      <c r="D24" s="12">
        <f>1625*0.15</f>
        <v>243.75</v>
      </c>
      <c r="E24" s="157">
        <v>17</v>
      </c>
    </row>
    <row r="25" spans="1:5">
      <c r="A25" s="34">
        <v>4</v>
      </c>
      <c r="B25" s="2" t="s">
        <v>101</v>
      </c>
      <c r="C25" s="3">
        <v>120</v>
      </c>
      <c r="D25" s="12">
        <v>243.27</v>
      </c>
      <c r="E25" s="157">
        <v>40</v>
      </c>
    </row>
    <row r="26" spans="1:5">
      <c r="A26" s="34">
        <v>5</v>
      </c>
      <c r="B26" s="2" t="s">
        <v>83</v>
      </c>
      <c r="C26" s="3">
        <v>180</v>
      </c>
      <c r="D26" s="12">
        <f>101*180/200</f>
        <v>90.9</v>
      </c>
      <c r="E26" s="157">
        <v>10</v>
      </c>
    </row>
    <row r="27" spans="1:5">
      <c r="A27" s="34">
        <v>6</v>
      </c>
      <c r="B27" s="2" t="s">
        <v>5</v>
      </c>
      <c r="C27" s="3">
        <v>50</v>
      </c>
      <c r="D27" s="12">
        <v>118.4</v>
      </c>
      <c r="E27" s="157">
        <v>5</v>
      </c>
    </row>
    <row r="28" spans="1:5">
      <c r="A28" s="34">
        <v>7</v>
      </c>
      <c r="B28" s="2" t="s">
        <v>6</v>
      </c>
      <c r="C28" s="3">
        <v>30</v>
      </c>
      <c r="D28" s="12">
        <v>61.2</v>
      </c>
      <c r="E28" s="157">
        <v>4.5</v>
      </c>
    </row>
    <row r="29" spans="1:5" s="30" customFormat="1" thickBot="1">
      <c r="A29" s="35"/>
      <c r="B29" s="17" t="s">
        <v>7</v>
      </c>
      <c r="C29" s="10">
        <f>SUM(C22:C28)</f>
        <v>790</v>
      </c>
      <c r="D29" s="19">
        <f t="shared" ref="D29" si="0">SUM(D22:D28)</f>
        <v>887.78</v>
      </c>
      <c r="E29" s="158">
        <f>SUM(E22:E28)</f>
        <v>106.5</v>
      </c>
    </row>
    <row r="30" spans="1:5">
      <c r="A30" s="33"/>
      <c r="B30" s="53"/>
      <c r="C30" s="56"/>
      <c r="D30" s="91"/>
    </row>
    <row r="31" spans="1:5">
      <c r="A31" s="33"/>
      <c r="B31" s="53"/>
      <c r="C31" s="56"/>
      <c r="D31" s="91"/>
      <c r="E31" s="30"/>
    </row>
    <row r="32" spans="1:5" s="33" customFormat="1" ht="28.35" customHeight="1">
      <c r="B32" s="126" t="s">
        <v>80</v>
      </c>
      <c r="C32" s="126"/>
      <c r="D32" s="126"/>
      <c r="E32" s="50"/>
    </row>
    <row r="33" spans="1:6">
      <c r="A33" s="140" t="s">
        <v>28</v>
      </c>
      <c r="B33" s="120" t="s">
        <v>0</v>
      </c>
      <c r="C33" s="120" t="s">
        <v>1</v>
      </c>
      <c r="D33" s="120" t="s">
        <v>2</v>
      </c>
      <c r="E33" s="145" t="s">
        <v>77</v>
      </c>
    </row>
    <row r="34" spans="1:6">
      <c r="A34" s="141"/>
      <c r="B34" s="120"/>
      <c r="C34" s="120"/>
      <c r="D34" s="120"/>
      <c r="E34" s="145"/>
    </row>
    <row r="35" spans="1:6" ht="25.5">
      <c r="A35" s="58">
        <v>1</v>
      </c>
      <c r="B35" s="2" t="s">
        <v>65</v>
      </c>
      <c r="C35" s="3">
        <v>170</v>
      </c>
      <c r="D35" s="12">
        <v>181.4</v>
      </c>
      <c r="E35" s="74">
        <f>49.72-12</f>
        <v>37.72</v>
      </c>
    </row>
    <row r="36" spans="1:6">
      <c r="A36" s="34">
        <v>2</v>
      </c>
      <c r="B36" s="2" t="s">
        <v>66</v>
      </c>
      <c r="C36" s="3">
        <v>180</v>
      </c>
      <c r="D36" s="12">
        <f>146.6*180/200</f>
        <v>131.94</v>
      </c>
      <c r="E36" s="74">
        <v>10</v>
      </c>
    </row>
    <row r="37" spans="1:6">
      <c r="A37" s="34">
        <v>3</v>
      </c>
      <c r="B37" s="2" t="s">
        <v>5</v>
      </c>
      <c r="C37" s="3">
        <v>20</v>
      </c>
      <c r="D37" s="12">
        <v>47.4</v>
      </c>
      <c r="E37" s="74">
        <v>2</v>
      </c>
    </row>
    <row r="38" spans="1:6" s="30" customFormat="1" ht="14.25">
      <c r="A38" s="35"/>
      <c r="B38" s="17" t="s">
        <v>7</v>
      </c>
      <c r="C38" s="10">
        <f>SUM(C35:C37)</f>
        <v>370</v>
      </c>
      <c r="D38" s="19">
        <v>375.4</v>
      </c>
      <c r="E38" s="74">
        <v>49.72</v>
      </c>
    </row>
    <row r="40" spans="1:6">
      <c r="A40" s="43"/>
      <c r="B40" s="40"/>
      <c r="C40" s="46"/>
      <c r="D40" s="47"/>
      <c r="E40" s="30"/>
    </row>
    <row r="41" spans="1:6">
      <c r="A41" s="27" t="str">
        <f>'1 Д 1 Н'!A38</f>
        <v xml:space="preserve">    Заведующий производством  _______________/  ______________/                              /</v>
      </c>
    </row>
    <row r="42" spans="1:6" s="33" customFormat="1" ht="21.6" customHeight="1">
      <c r="A42" s="129" t="s">
        <v>84</v>
      </c>
      <c r="B42" s="124"/>
      <c r="C42" s="124"/>
      <c r="D42" s="124"/>
      <c r="E42" s="124"/>
      <c r="F42" s="39"/>
    </row>
    <row r="43" spans="1:6">
      <c r="A43" s="93" t="s">
        <v>85</v>
      </c>
      <c r="E43" s="92"/>
      <c r="F43" s="63"/>
    </row>
  </sheetData>
  <mergeCells count="19">
    <mergeCell ref="B8:D8"/>
    <mergeCell ref="A9:A10"/>
    <mergeCell ref="B9:B10"/>
    <mergeCell ref="C9:C10"/>
    <mergeCell ref="D9:D10"/>
    <mergeCell ref="A42:E42"/>
    <mergeCell ref="E9:E10"/>
    <mergeCell ref="E20:E21"/>
    <mergeCell ref="E33:E34"/>
    <mergeCell ref="A33:A34"/>
    <mergeCell ref="B33:B34"/>
    <mergeCell ref="C33:C34"/>
    <mergeCell ref="D33:D34"/>
    <mergeCell ref="B19:D19"/>
    <mergeCell ref="A20:A21"/>
    <mergeCell ref="B20:B21"/>
    <mergeCell ref="C20:C21"/>
    <mergeCell ref="D20:D21"/>
    <mergeCell ref="B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 1 Н</vt:lpstr>
      <vt:lpstr>2Д 1Н</vt:lpstr>
      <vt:lpstr>3Д 1Н</vt:lpstr>
      <vt:lpstr>4Д 1Н</vt:lpstr>
      <vt:lpstr>5Д 1Н</vt:lpstr>
      <vt:lpstr>1Д 2Н</vt:lpstr>
      <vt:lpstr>2Д 2Н</vt:lpstr>
      <vt:lpstr>3Д 2Н</vt:lpstr>
      <vt:lpstr>4 Д 2Н</vt:lpstr>
      <vt:lpstr>5 Д2Н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</dc:creator>
  <cp:lastModifiedBy>User</cp:lastModifiedBy>
  <cp:lastPrinted>2023-01-15T08:49:59Z</cp:lastPrinted>
  <dcterms:created xsi:type="dcterms:W3CDTF">2023-01-04T12:19:43Z</dcterms:created>
  <dcterms:modified xsi:type="dcterms:W3CDTF">2023-04-28T07:10:00Z</dcterms:modified>
</cp:coreProperties>
</file>