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\Desktop\"/>
    </mc:Choice>
  </mc:AlternateContent>
  <bookViews>
    <workbookView xWindow="0" yWindow="0" windowWidth="23016" windowHeight="8184" activeTab="9"/>
  </bookViews>
  <sheets>
    <sheet name="1д1н" sheetId="2" r:id="rId1"/>
    <sheet name="2д1н" sheetId="3" r:id="rId2"/>
    <sheet name="3д1н" sheetId="4" r:id="rId3"/>
    <sheet name="4д1н" sheetId="6" r:id="rId4"/>
    <sheet name="5д1н" sheetId="7" r:id="rId5"/>
    <sheet name="1д2н" sheetId="8" r:id="rId6"/>
    <sheet name="2д2н" sheetId="9" r:id="rId7"/>
    <sheet name="3д2н" sheetId="10" r:id="rId8"/>
    <sheet name="4д2н" sheetId="11" r:id="rId9"/>
    <sheet name="5д2н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1" l="1"/>
  <c r="F6" i="12"/>
  <c r="F4" i="11"/>
  <c r="F6" i="10"/>
  <c r="F4" i="9"/>
  <c r="F6" i="8"/>
  <c r="F5" i="7"/>
  <c r="F5" i="4"/>
  <c r="F5" i="3"/>
  <c r="F13" i="9"/>
  <c r="F5" i="11" l="1"/>
  <c r="F18" i="7"/>
  <c r="J10" i="7"/>
  <c r="I10" i="7"/>
  <c r="H10" i="7"/>
  <c r="G10" i="7"/>
  <c r="F14" i="12" l="1"/>
  <c r="F19" i="12"/>
  <c r="J13" i="12"/>
  <c r="I13" i="12"/>
  <c r="H13" i="12"/>
  <c r="G13" i="12"/>
  <c r="J12" i="12"/>
  <c r="I12" i="12"/>
  <c r="H12" i="12"/>
  <c r="G12" i="12"/>
  <c r="J11" i="12"/>
  <c r="J19" i="12" s="1"/>
  <c r="I11" i="12"/>
  <c r="I19" i="12" s="1"/>
  <c r="H11" i="12"/>
  <c r="H19" i="12" s="1"/>
  <c r="G11" i="12"/>
  <c r="G19" i="12" s="1"/>
  <c r="F10" i="12"/>
  <c r="J6" i="12"/>
  <c r="I6" i="12"/>
  <c r="H6" i="12"/>
  <c r="G6" i="12"/>
  <c r="J5" i="12"/>
  <c r="I5" i="12"/>
  <c r="H5" i="12"/>
  <c r="G5" i="12"/>
  <c r="J4" i="12"/>
  <c r="J10" i="12" s="1"/>
  <c r="I4" i="12"/>
  <c r="H4" i="12"/>
  <c r="H10" i="12" s="1"/>
  <c r="G4" i="12"/>
  <c r="F19" i="11"/>
  <c r="J15" i="11"/>
  <c r="I15" i="11"/>
  <c r="H15" i="11"/>
  <c r="G15" i="11"/>
  <c r="J14" i="11"/>
  <c r="I14" i="11"/>
  <c r="H14" i="11"/>
  <c r="G14" i="11"/>
  <c r="J13" i="11"/>
  <c r="I13" i="11"/>
  <c r="H13" i="11"/>
  <c r="G13" i="11"/>
  <c r="J12" i="11"/>
  <c r="J19" i="11" s="1"/>
  <c r="I12" i="11"/>
  <c r="I19" i="11" s="1"/>
  <c r="H12" i="11"/>
  <c r="H19" i="11" s="1"/>
  <c r="G12" i="11"/>
  <c r="G19" i="11" s="1"/>
  <c r="J6" i="11"/>
  <c r="I6" i="11"/>
  <c r="H6" i="11"/>
  <c r="G6" i="11"/>
  <c r="J4" i="11"/>
  <c r="J11" i="11" s="1"/>
  <c r="I4" i="11"/>
  <c r="I11" i="11" s="1"/>
  <c r="H4" i="11"/>
  <c r="H11" i="11" s="1"/>
  <c r="G4" i="11"/>
  <c r="G11" i="11" s="1"/>
  <c r="F11" i="11"/>
  <c r="J15" i="10"/>
  <c r="I15" i="10"/>
  <c r="H15" i="10"/>
  <c r="G15" i="10"/>
  <c r="F21" i="10"/>
  <c r="J14" i="10"/>
  <c r="I14" i="10"/>
  <c r="H14" i="10"/>
  <c r="G14" i="10"/>
  <c r="J13" i="10"/>
  <c r="I13" i="10"/>
  <c r="H13" i="10"/>
  <c r="G13" i="10"/>
  <c r="J12" i="10"/>
  <c r="I12" i="10"/>
  <c r="I21" i="10" s="1"/>
  <c r="H12" i="10"/>
  <c r="G12" i="10"/>
  <c r="G21" i="10" s="1"/>
  <c r="E11" i="10"/>
  <c r="F11" i="10"/>
  <c r="J8" i="10"/>
  <c r="I8" i="10"/>
  <c r="H8" i="10"/>
  <c r="G8" i="10"/>
  <c r="J5" i="10"/>
  <c r="I5" i="10"/>
  <c r="H5" i="10"/>
  <c r="G5" i="10"/>
  <c r="J4" i="10"/>
  <c r="J11" i="10" s="1"/>
  <c r="I4" i="10"/>
  <c r="H4" i="10"/>
  <c r="H11" i="10" s="1"/>
  <c r="G4" i="10"/>
  <c r="F17" i="9"/>
  <c r="F16" i="9"/>
  <c r="F18" i="9" s="1"/>
  <c r="J15" i="9"/>
  <c r="I15" i="9"/>
  <c r="H15" i="9"/>
  <c r="G15" i="9"/>
  <c r="J14" i="9"/>
  <c r="I14" i="9"/>
  <c r="H14" i="9"/>
  <c r="G14" i="9"/>
  <c r="J13" i="9"/>
  <c r="I13" i="9"/>
  <c r="H13" i="9"/>
  <c r="G13" i="9"/>
  <c r="J12" i="9"/>
  <c r="J18" i="9" s="1"/>
  <c r="I12" i="9"/>
  <c r="I18" i="9" s="1"/>
  <c r="H12" i="9"/>
  <c r="H18" i="9" s="1"/>
  <c r="G12" i="9"/>
  <c r="G18" i="9" s="1"/>
  <c r="J11" i="9"/>
  <c r="I11" i="9"/>
  <c r="H11" i="9"/>
  <c r="G11" i="9"/>
  <c r="F10" i="9"/>
  <c r="J8" i="9"/>
  <c r="I8" i="9"/>
  <c r="H8" i="9"/>
  <c r="G8" i="9"/>
  <c r="J7" i="9"/>
  <c r="H7" i="9"/>
  <c r="G7" i="9"/>
  <c r="J6" i="9"/>
  <c r="I6" i="9"/>
  <c r="H6" i="9"/>
  <c r="G6" i="9"/>
  <c r="I5" i="9"/>
  <c r="H5" i="9"/>
  <c r="G5" i="9"/>
  <c r="J4" i="9"/>
  <c r="J10" i="9" s="1"/>
  <c r="I4" i="9"/>
  <c r="I10" i="9" s="1"/>
  <c r="H4" i="9"/>
  <c r="H10" i="9" s="1"/>
  <c r="G4" i="9"/>
  <c r="G10" i="9" s="1"/>
  <c r="J15" i="8"/>
  <c r="I15" i="8"/>
  <c r="H15" i="8"/>
  <c r="G15" i="8"/>
  <c r="J14" i="8"/>
  <c r="I14" i="8"/>
  <c r="H14" i="8"/>
  <c r="G14" i="8"/>
  <c r="F20" i="8"/>
  <c r="J12" i="8"/>
  <c r="I12" i="8"/>
  <c r="H12" i="8"/>
  <c r="G12" i="8"/>
  <c r="J11" i="8"/>
  <c r="J20" i="8" s="1"/>
  <c r="I11" i="8"/>
  <c r="I20" i="8" s="1"/>
  <c r="H11" i="8"/>
  <c r="H20" i="8" s="1"/>
  <c r="G11" i="8"/>
  <c r="G20" i="8" s="1"/>
  <c r="J6" i="8"/>
  <c r="I6" i="8"/>
  <c r="H6" i="8"/>
  <c r="G6" i="8"/>
  <c r="F10" i="8"/>
  <c r="J5" i="8"/>
  <c r="I5" i="8"/>
  <c r="H5" i="8"/>
  <c r="G5" i="8"/>
  <c r="J4" i="8"/>
  <c r="J10" i="8" s="1"/>
  <c r="I4" i="8"/>
  <c r="I10" i="8" s="1"/>
  <c r="H4" i="8"/>
  <c r="H10" i="8" s="1"/>
  <c r="G4" i="8"/>
  <c r="G10" i="8" s="1"/>
  <c r="J14" i="7"/>
  <c r="I14" i="7"/>
  <c r="H14" i="7"/>
  <c r="G14" i="7"/>
  <c r="J13" i="7"/>
  <c r="I13" i="7"/>
  <c r="H13" i="7"/>
  <c r="G13" i="7"/>
  <c r="J12" i="7"/>
  <c r="I12" i="7"/>
  <c r="H12" i="7"/>
  <c r="G12" i="7"/>
  <c r="J11" i="7"/>
  <c r="J18" i="7" s="1"/>
  <c r="I11" i="7"/>
  <c r="I18" i="7" s="1"/>
  <c r="H11" i="7"/>
  <c r="H18" i="7" s="1"/>
  <c r="G11" i="7"/>
  <c r="G18" i="7" s="1"/>
  <c r="F7" i="7"/>
  <c r="J6" i="7"/>
  <c r="I6" i="7"/>
  <c r="H6" i="7"/>
  <c r="G6" i="7"/>
  <c r="J5" i="7"/>
  <c r="I5" i="7"/>
  <c r="H5" i="7"/>
  <c r="G5" i="7"/>
  <c r="F9" i="7"/>
  <c r="J4" i="7"/>
  <c r="J9" i="7" s="1"/>
  <c r="I4" i="7"/>
  <c r="H4" i="7"/>
  <c r="H9" i="7" s="1"/>
  <c r="G4" i="7"/>
  <c r="G9" i="7" s="1"/>
  <c r="G14" i="6"/>
  <c r="G13" i="6"/>
  <c r="G12" i="6"/>
  <c r="G11" i="6"/>
  <c r="G18" i="6" s="1"/>
  <c r="G5" i="6"/>
  <c r="G4" i="6"/>
  <c r="G10" i="6" s="1"/>
  <c r="G17" i="4"/>
  <c r="G16" i="4"/>
  <c r="G14" i="4"/>
  <c r="G13" i="4"/>
  <c r="G12" i="4"/>
  <c r="G18" i="4" s="1"/>
  <c r="G11" i="4"/>
  <c r="G5" i="4"/>
  <c r="G4" i="4"/>
  <c r="G15" i="3"/>
  <c r="G14" i="3"/>
  <c r="G13" i="3"/>
  <c r="G12" i="3"/>
  <c r="G20" i="3" s="1"/>
  <c r="G8" i="3"/>
  <c r="G7" i="3"/>
  <c r="G6" i="3"/>
  <c r="G5" i="3"/>
  <c r="G11" i="3" s="1"/>
  <c r="G4" i="3"/>
  <c r="G14" i="2"/>
  <c r="G13" i="2"/>
  <c r="G12" i="2"/>
  <c r="G11" i="2"/>
  <c r="G18" i="2" s="1"/>
  <c r="G5" i="2"/>
  <c r="G4" i="2"/>
  <c r="G10" i="2" s="1"/>
  <c r="I9" i="7" l="1"/>
  <c r="G10" i="12"/>
  <c r="I10" i="12"/>
  <c r="G11" i="10"/>
  <c r="I11" i="10"/>
  <c r="H21" i="10"/>
  <c r="J21" i="10"/>
  <c r="G10" i="4"/>
  <c r="F17" i="6" l="1"/>
  <c r="F16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5" i="6"/>
  <c r="I5" i="6"/>
  <c r="H5" i="6"/>
  <c r="F10" i="6"/>
  <c r="J4" i="6"/>
  <c r="I4" i="6"/>
  <c r="I10" i="6" s="1"/>
  <c r="H4" i="6"/>
  <c r="J17" i="4"/>
  <c r="I17" i="4"/>
  <c r="H17" i="4"/>
  <c r="J16" i="4"/>
  <c r="I16" i="4"/>
  <c r="H16" i="4"/>
  <c r="J14" i="4"/>
  <c r="I14" i="4"/>
  <c r="H14" i="4"/>
  <c r="J13" i="4"/>
  <c r="I13" i="4"/>
  <c r="H13" i="4"/>
  <c r="F18" i="4"/>
  <c r="J12" i="4"/>
  <c r="I12" i="4"/>
  <c r="H12" i="4"/>
  <c r="J11" i="4"/>
  <c r="I11" i="4"/>
  <c r="H11" i="4"/>
  <c r="F10" i="4"/>
  <c r="H7" i="4"/>
  <c r="J5" i="4"/>
  <c r="I5" i="4"/>
  <c r="H5" i="4"/>
  <c r="J4" i="4"/>
  <c r="J10" i="4" s="1"/>
  <c r="I4" i="4"/>
  <c r="H4" i="4"/>
  <c r="H16" i="3"/>
  <c r="J15" i="3"/>
  <c r="I15" i="3"/>
  <c r="H15" i="3"/>
  <c r="F20" i="3"/>
  <c r="J14" i="3"/>
  <c r="I14" i="3"/>
  <c r="H14" i="3"/>
  <c r="J13" i="3"/>
  <c r="I13" i="3"/>
  <c r="H13" i="3"/>
  <c r="J12" i="3"/>
  <c r="I12" i="3"/>
  <c r="H12" i="3"/>
  <c r="F11" i="3"/>
  <c r="E11" i="3"/>
  <c r="H8" i="3"/>
  <c r="J7" i="3"/>
  <c r="I7" i="3"/>
  <c r="H7" i="3"/>
  <c r="J6" i="3"/>
  <c r="I6" i="3"/>
  <c r="H6" i="3"/>
  <c r="J5" i="3"/>
  <c r="I5" i="3"/>
  <c r="H5" i="3"/>
  <c r="J4" i="3"/>
  <c r="I4" i="3"/>
  <c r="H4" i="3"/>
  <c r="H11" i="3" s="1"/>
  <c r="H15" i="2"/>
  <c r="J14" i="2"/>
  <c r="I14" i="2"/>
  <c r="H14" i="2"/>
  <c r="F14" i="2"/>
  <c r="F18" i="2" s="1"/>
  <c r="J13" i="2"/>
  <c r="I13" i="2"/>
  <c r="H13" i="2"/>
  <c r="J12" i="2"/>
  <c r="I12" i="2"/>
  <c r="H12" i="2"/>
  <c r="J11" i="2"/>
  <c r="I11" i="2"/>
  <c r="H11" i="2"/>
  <c r="F10" i="2"/>
  <c r="I5" i="2"/>
  <c r="H5" i="2"/>
  <c r="J4" i="2"/>
  <c r="J10" i="2" s="1"/>
  <c r="I4" i="2"/>
  <c r="I10" i="2" s="1"/>
  <c r="H4" i="2"/>
  <c r="H10" i="6" l="1"/>
  <c r="I10" i="4"/>
  <c r="I11" i="3"/>
  <c r="H10" i="2"/>
  <c r="I18" i="4"/>
  <c r="H10" i="4"/>
  <c r="H18" i="4"/>
  <c r="J18" i="4"/>
  <c r="J11" i="3"/>
  <c r="H20" i="3"/>
  <c r="J20" i="3"/>
  <c r="I20" i="3"/>
  <c r="H18" i="2"/>
  <c r="J18" i="2"/>
  <c r="I18" i="2"/>
  <c r="J10" i="6"/>
  <c r="H18" i="6"/>
  <c r="J18" i="6"/>
  <c r="F18" i="6"/>
  <c r="I18" i="6"/>
</calcChain>
</file>

<file path=xl/sharedStrings.xml><?xml version="1.0" encoding="utf-8"?>
<sst xmlns="http://schemas.openxmlformats.org/spreadsheetml/2006/main" count="550" uniqueCount="168">
  <si>
    <t>№ рецеп-туры</t>
  </si>
  <si>
    <t>Прием пищи, наименование блюда</t>
  </si>
  <si>
    <t>Масса порции</t>
  </si>
  <si>
    <t>Энергети-ческая ценность, ккал</t>
  </si>
  <si>
    <t>Цена</t>
  </si>
  <si>
    <t>Пищевые вещества</t>
  </si>
  <si>
    <t>Белки, г</t>
  </si>
  <si>
    <t>Жиры, г</t>
  </si>
  <si>
    <t>Углеводы, г</t>
  </si>
  <si>
    <t>КАША ВЯЗКАЯ ИЗ РИСА И ПШЕНА 150/10</t>
  </si>
  <si>
    <t>15</t>
  </si>
  <si>
    <t>СЫР (ПОРЦИЯМИ)</t>
  </si>
  <si>
    <t>378</t>
  </si>
  <si>
    <t xml:space="preserve">ЧАЙ С МОЛОКОМ </t>
  </si>
  <si>
    <t>338</t>
  </si>
  <si>
    <t>ФРУКТЫ СВЕЖИЕ/ЯБЛОКО/</t>
  </si>
  <si>
    <t>ХЛЕБ ПШЕНИЧНЫЙ</t>
  </si>
  <si>
    <t>ХЛЕБ РЖАНОЙ</t>
  </si>
  <si>
    <t>Итого за прием пищи:</t>
  </si>
  <si>
    <t>73</t>
  </si>
  <si>
    <t>ИКРА КАБАЧКОВАЯ</t>
  </si>
  <si>
    <t>82</t>
  </si>
  <si>
    <t>БОРЩ С КАПУСТОЙ И КАРТОФЕЛЕМ</t>
  </si>
  <si>
    <t>КАША РАССЫПЧАТАЯ ПЕРЛОВАЯ</t>
  </si>
  <si>
    <t>234</t>
  </si>
  <si>
    <t>КОТЛЕТЫ РЫБНЫЕ/СОУС 110/15</t>
  </si>
  <si>
    <t>389</t>
  </si>
  <si>
    <t>СОК ФРУКТОВЫЙ/ВИШНЕВЫЙ/</t>
  </si>
  <si>
    <t>200</t>
  </si>
  <si>
    <t>386</t>
  </si>
  <si>
    <t>КИСЛОМОЛОЧНЫЙ НАПИТОК/СНЕЖОК/</t>
  </si>
  <si>
    <t>21</t>
  </si>
  <si>
    <t>САЛАТ ИЗ СОЛЕНИЙ</t>
  </si>
  <si>
    <t>РАГУ ИЗ ОВОЩЕЙ</t>
  </si>
  <si>
    <t>150</t>
  </si>
  <si>
    <t>268</t>
  </si>
  <si>
    <t>КОТЛЕТЫ, ИЗ ГОВЯДИНЫ</t>
  </si>
  <si>
    <t>379</t>
  </si>
  <si>
    <t>КОФЕЙНЫЙ НАПИТОК С МОЛОКОМ</t>
  </si>
  <si>
    <t>50</t>
  </si>
  <si>
    <t>САЛАТ ИЗ СВЕКЛЫ С СЫРОМ И ЧЕСНОКОМ</t>
  </si>
  <si>
    <t>102</t>
  </si>
  <si>
    <t xml:space="preserve">СУП КАРТОФЕЛЬНЫЙ С БОБОВЫМИ </t>
  </si>
  <si>
    <t>КАРТОФЕЛЬ В МОЛОКЕ</t>
  </si>
  <si>
    <t>СУФЛЕ ИЗ КУР</t>
  </si>
  <si>
    <t>СОК ФРУКТОВЫЙ/ЯБЛОЧНЫЙ/</t>
  </si>
  <si>
    <t>пп</t>
  </si>
  <si>
    <t>МОЛОКО 2,5% ПРОМ ПРОИЗВОДСТВА</t>
  </si>
  <si>
    <t>70</t>
  </si>
  <si>
    <t>ОВОЩИ НАТУРАЛЬНЫЕ СОЛЕНЫЕ/ПОМИДОРЫ /</t>
  </si>
  <si>
    <t>РУЛЕТ С МАКАРОНАМИ</t>
  </si>
  <si>
    <t>374</t>
  </si>
  <si>
    <t>БЛИНЫ СО СГУЩ МОЛОКОМ</t>
  </si>
  <si>
    <t>СОК ФРУКТОВЫЙ/ВИНОГРАДНЫЙ/</t>
  </si>
  <si>
    <t>45</t>
  </si>
  <si>
    <t>САЛАТ ИЗ БЕЛОКОЧАННОЙ КАПУСТЫ С МОРКОВЬЮ</t>
  </si>
  <si>
    <t>118.1</t>
  </si>
  <si>
    <t xml:space="preserve">СУП КАРТОФЕЛЬНЫЙ С КЛЕЦКАМИ </t>
  </si>
  <si>
    <t>259</t>
  </si>
  <si>
    <t>ЖАРКОЕ ПО-ДОМАШНЕМУ</t>
  </si>
  <si>
    <t>КИСЛОМОЛОЧНЫЙ НАПИТОК /КЕФИР/</t>
  </si>
  <si>
    <t>ФРУКТЫ СВЕЖИЕ/МАНДАРИН/</t>
  </si>
  <si>
    <t>КОНДИТЕРСКИЕ ИЗДЕЛИЯ /НЕ КРЕМОВЫЕ/</t>
  </si>
  <si>
    <t>47</t>
  </si>
  <si>
    <t>САЛАТ ИЗ КВАШЕНОЙ КАПУСТЫ</t>
  </si>
  <si>
    <t>289</t>
  </si>
  <si>
    <t>РАГУ ИЗ  ЦЫПЛЕНКА-БРОЙЛЕРА</t>
  </si>
  <si>
    <t>ИКРА СВЕКОЛЬНАЯ</t>
  </si>
  <si>
    <t>96</t>
  </si>
  <si>
    <t>РАССОЛЬНИК ЛЕНИНГРАДСКИЙ</t>
  </si>
  <si>
    <t>302.3</t>
  </si>
  <si>
    <t xml:space="preserve">КАША РАССЫПЧАТАЯ ПШЕНИЧНАЯ </t>
  </si>
  <si>
    <t xml:space="preserve">БИТОЧКИ РЫБНЫЕ С СОУСОМ </t>
  </si>
  <si>
    <t>64</t>
  </si>
  <si>
    <t>САЛАТ ИЗ МОРКОВИ И КУРАГИ С ЙОГУРТОМ</t>
  </si>
  <si>
    <t>ОМЛЕТ НАТУРАЛЬНЫЙ</t>
  </si>
  <si>
    <t>352</t>
  </si>
  <si>
    <t>КИСЕЛЬ ИЗ ЯБЛОК</t>
  </si>
  <si>
    <t>6*0,2</t>
  </si>
  <si>
    <t>87</t>
  </si>
  <si>
    <t>ЩИ ИЗ СВЕЖЕЙ КАПУСТЫ</t>
  </si>
  <si>
    <t>51</t>
  </si>
  <si>
    <t>САЛАТ ИЗ СВЕКЛЫ С КУРАГОЙ И ИЗЮМОМ</t>
  </si>
  <si>
    <t>ЗАПЕКАНКА ИЗ ТВОРОГА/МОЛОКО СГУЩ 160/20</t>
  </si>
  <si>
    <t>ФРУКТЫ СВЕЖИЕ/МАНДАРИНЫ/</t>
  </si>
  <si>
    <t>382</t>
  </si>
  <si>
    <t>КАКАО С МОЛОКОМ</t>
  </si>
  <si>
    <t>312</t>
  </si>
  <si>
    <t>КАРТОФЕЛЬ ОТВАРНОЙ С ЛУКОМ</t>
  </si>
  <si>
    <t>261</t>
  </si>
  <si>
    <t>ПЕЧЕНЬ, ТУШЕНАЯ В СОУСЕ</t>
  </si>
  <si>
    <t>СУП ИЗ ОВОЩЕЙ</t>
  </si>
  <si>
    <t>МАКАРОНЫ ОТВАРНЫЕ С СЫРОМ</t>
  </si>
  <si>
    <t>ТТК 2</t>
  </si>
  <si>
    <t>САЛАТ ВИТАМИННЫЙ</t>
  </si>
  <si>
    <t>60</t>
  </si>
  <si>
    <t>250</t>
  </si>
  <si>
    <t>БЕФСТРОГАНОВ</t>
  </si>
  <si>
    <t>ЧАЙ С САХАРОМ</t>
  </si>
  <si>
    <t>377</t>
  </si>
  <si>
    <t>ЧАЙ С ЛИМОНОМ</t>
  </si>
  <si>
    <t>223</t>
  </si>
  <si>
    <t>ЗАПЕКАНКА ИЗ ТВОРОГА/ПОВИДЛО /</t>
  </si>
  <si>
    <t>САЛАТ ИЗ СОЛЕНЫХ ОГУРЦОВ С ЛУКОМ</t>
  </si>
  <si>
    <t>84</t>
  </si>
  <si>
    <t>БОРЩ С ФАСОЛЬЮ И КАРТОФЕЛЕМ</t>
  </si>
  <si>
    <t>142</t>
  </si>
  <si>
    <t>КАРТОФЕЛЬ И ОВОЩИ, ТУШЕННЫЕ В СОУСЕ</t>
  </si>
  <si>
    <t>66</t>
  </si>
  <si>
    <t>САЛАТ ИЗ МОРКОВИ С ИЗЮМОМ</t>
  </si>
  <si>
    <t>ПЮРЕ КАРТОФЕЛЬНОЕ</t>
  </si>
  <si>
    <t>ТТК 6</t>
  </si>
  <si>
    <t>ПОДЖАРКА ИЗ РЫБЫ</t>
  </si>
  <si>
    <t>14</t>
  </si>
  <si>
    <t>МАСЛО (ПОРЦИЯМИ)</t>
  </si>
  <si>
    <t>67</t>
  </si>
  <si>
    <t>ВИНЕГРЕТ ОВОЩНОЙ</t>
  </si>
  <si>
    <t>103</t>
  </si>
  <si>
    <t>СУП КАРТОФЕЛЬНЫЙ С МАКАРОННЫМИ ИЗДЕЛИЯМИ</t>
  </si>
  <si>
    <t>322</t>
  </si>
  <si>
    <t>КАПУСТА, ТУШЕННАЯ С ЯБЛОКАМИ</t>
  </si>
  <si>
    <t>290</t>
  </si>
  <si>
    <t>ПТИЦА ТУШЕНАЯ В СОУСЕ</t>
  </si>
  <si>
    <t>179</t>
  </si>
  <si>
    <t>МЮСЛИ /ХЛОПЬЯ КУКУРУЗНЫЕ ИЛИ ПШЕНИЧНЫЕ/ С МОЛОКОМ</t>
  </si>
  <si>
    <t>209</t>
  </si>
  <si>
    <t>ЯЙЦА ВАРЕНЫЕ</t>
  </si>
  <si>
    <t>46</t>
  </si>
  <si>
    <t>САЛАТ ИЗ БЕЛОКОЧАННОЙ КАПУСТЫ С ЯБЛОКАМИ</t>
  </si>
  <si>
    <t>302.1</t>
  </si>
  <si>
    <t>КАША РАССЫПЧАТАЯ ГРЕЧНЕВАЯ</t>
  </si>
  <si>
    <t>279</t>
  </si>
  <si>
    <t xml:space="preserve">ТЕФТЕЛИ МЯСНЫЕ 1 ВАРИАНТ </t>
  </si>
  <si>
    <t>321</t>
  </si>
  <si>
    <t>КАПУСТА ТУШЕНАЯ</t>
  </si>
  <si>
    <t>БИТОЧКИ ПАРОВЫЕ</t>
  </si>
  <si>
    <t>255</t>
  </si>
  <si>
    <t>ПЕЧЕНЬ ПО-СТРОГАНОВСКИ</t>
  </si>
  <si>
    <t>КИСЕЛЬ ИЗ КУРАГИ</t>
  </si>
  <si>
    <t>завтрак</t>
  </si>
  <si>
    <t>обед</t>
  </si>
  <si>
    <t>закуска</t>
  </si>
  <si>
    <t>горячее блюдо</t>
  </si>
  <si>
    <t>напиток</t>
  </si>
  <si>
    <t>фрукты</t>
  </si>
  <si>
    <t>хлеб</t>
  </si>
  <si>
    <t>первое блюдо</t>
  </si>
  <si>
    <t>гарнир</t>
  </si>
  <si>
    <t>второе горячее блюдо</t>
  </si>
  <si>
    <t>соки</t>
  </si>
  <si>
    <t>Наименование рациона</t>
  </si>
  <si>
    <t>затрак</t>
  </si>
  <si>
    <t>кисломолочный напиток</t>
  </si>
  <si>
    <t>кондитерские изделия</t>
  </si>
  <si>
    <t>молоко</t>
  </si>
  <si>
    <t>Тип блюда</t>
  </si>
  <si>
    <t>каши</t>
  </si>
  <si>
    <t>второе  блюдо</t>
  </si>
  <si>
    <t>мучное блюдо</t>
  </si>
  <si>
    <t>Школа</t>
  </si>
  <si>
    <t>-</t>
  </si>
  <si>
    <t>Отд./корп</t>
  </si>
  <si>
    <t>День</t>
  </si>
  <si>
    <t>блюдо из яиц</t>
  </si>
  <si>
    <t>блюдо из творога</t>
  </si>
  <si>
    <t>второе блюдо</t>
  </si>
  <si>
    <t>яйцо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</si>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</sst>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2" fillId="2" borderId="0" xfId="0" applyFont="1" applyFill="1"/>
    <xf numFmtId="0" fontId="6" fillId="0" borderId="0" xfId="0" applyFont="1"/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1" fillId="2" borderId="13" xfId="0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right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4" fontId="1" fillId="2" borderId="25" xfId="0" applyNumberFormat="1" applyFont="1" applyFill="1" applyBorder="1" applyAlignment="1">
      <alignment horizontal="right" vertical="center" wrapText="1"/>
    </xf>
    <xf numFmtId="4" fontId="2" fillId="3" borderId="25" xfId="0" applyNumberFormat="1" applyFont="1" applyFill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right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/>
    <xf numFmtId="0" fontId="1" fillId="2" borderId="18" xfId="0" applyFont="1" applyFill="1" applyBorder="1" applyAlignment="1">
      <alignment horizontal="left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/>
    <xf numFmtId="0" fontId="1" fillId="2" borderId="16" xfId="0" applyFont="1" applyFill="1" applyBorder="1" applyAlignment="1">
      <alignment horizontal="left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4" fontId="2" fillId="3" borderId="23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/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top" wrapText="1"/>
    </xf>
    <xf numFmtId="4" fontId="2" fillId="2" borderId="25" xfId="0" applyNumberFormat="1" applyFont="1" applyFill="1" applyBorder="1" applyAlignment="1">
      <alignment horizontal="right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0" fontId="0" fillId="0" borderId="12" xfId="0" applyFont="1" applyBorder="1" applyAlignment="1">
      <alignment horizontal="center" vertical="center"/>
    </xf>
    <xf numFmtId="0" fontId="8" fillId="2" borderId="0" xfId="0" applyFont="1" applyFill="1"/>
    <xf numFmtId="0" fontId="7" fillId="2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/>
    <xf numFmtId="0" fontId="1" fillId="2" borderId="4" xfId="0" applyFont="1" applyFill="1" applyBorder="1" applyAlignment="1"/>
    <xf numFmtId="0" fontId="2" fillId="2" borderId="23" xfId="0" applyFont="1" applyFill="1" applyBorder="1" applyAlignment="1"/>
    <xf numFmtId="0" fontId="6" fillId="0" borderId="23" xfId="0" applyFont="1" applyBorder="1" applyAlignment="1"/>
    <xf numFmtId="0" fontId="0" fillId="0" borderId="0" xfId="0" applyAlignment="1"/>
    <xf numFmtId="49" fontId="0" fillId="4" borderId="4" xfId="0" applyNumberFormat="1" applyFill="1" applyBorder="1" applyProtection="1">
      <protection locked="0"/>
    </xf>
    <xf numFmtId="14" fontId="0" fillId="4" borderId="4" xfId="0" applyNumberFormat="1" applyFill="1" applyBorder="1" applyProtection="1">
      <protection locked="0"/>
    </xf>
    <xf numFmtId="4" fontId="2" fillId="2" borderId="4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right" vertical="center" wrapText="1"/>
    </xf>
    <xf numFmtId="4" fontId="1" fillId="2" borderId="23" xfId="0" applyNumberFormat="1" applyFont="1" applyFill="1" applyBorder="1" applyAlignment="1">
      <alignment horizontal="right" vertical="center" wrapText="1"/>
    </xf>
    <xf numFmtId="4" fontId="1" fillId="2" borderId="33" xfId="0" applyNumberFormat="1" applyFont="1" applyFill="1" applyBorder="1" applyAlignment="1">
      <alignment horizontal="right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31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/>
    <xf numFmtId="0" fontId="1" fillId="2" borderId="20" xfId="0" applyFont="1" applyFill="1" applyBorder="1"/>
    <xf numFmtId="0" fontId="2" fillId="2" borderId="22" xfId="0" applyFont="1" applyFill="1" applyBorder="1"/>
    <xf numFmtId="4" fontId="3" fillId="2" borderId="0" xfId="0" applyNumberFormat="1" applyFont="1" applyFill="1"/>
    <xf numFmtId="4" fontId="4" fillId="2" borderId="0" xfId="0" applyNumberFormat="1" applyFont="1" applyFill="1"/>
    <xf numFmtId="4" fontId="0" fillId="0" borderId="0" xfId="0" applyNumberFormat="1"/>
    <xf numFmtId="4" fontId="0" fillId="4" borderId="4" xfId="0" applyNumberFormat="1" applyFill="1" applyBorder="1" applyProtection="1">
      <protection locked="0"/>
    </xf>
    <xf numFmtId="4" fontId="7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4" borderId="4" xfId="0" applyNumberFormat="1" applyFill="1" applyBorder="1" applyAlignment="1" applyProtection="1">
      <alignment horizontal="center" vertical="center"/>
      <protection locked="0"/>
    </xf>
    <xf numFmtId="4" fontId="1" fillId="2" borderId="23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32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2" borderId="3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4" borderId="7" xfId="0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7" fillId="2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wrapText="1"/>
    </xf>
    <xf numFmtId="0" fontId="9" fillId="0" borderId="41" xfId="0" applyFont="1" applyBorder="1" applyAlignment="1"/>
    <xf numFmtId="0" fontId="10" fillId="0" borderId="14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/>
    <xf numFmtId="0" fontId="0" fillId="0" borderId="22" xfId="0" applyBorder="1" applyAlignment="1"/>
    <xf numFmtId="0" fontId="6" fillId="0" borderId="38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7" fillId="2" borderId="4" xfId="0" applyFont="1" applyFill="1" applyBorder="1" applyAlignment="1">
      <alignment wrapText="1"/>
    </xf>
    <xf numFmtId="0" fontId="10" fillId="0" borderId="4" xfId="0" applyFont="1" applyBorder="1" applyAlignment="1"/>
    <xf numFmtId="0" fontId="7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4" xfId="0" applyFont="1" applyBorder="1" applyAlignment="1"/>
    <xf numFmtId="0" fontId="9" fillId="0" borderId="4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textRotation="90"/>
    </xf>
    <xf numFmtId="0" fontId="2" fillId="2" borderId="43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" fontId="1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B23" sqref="B23"/>
    </sheetView>
  </sheetViews>
  <sheetFormatPr defaultRowHeight="14.4" x14ac:dyDescent="0.3"/>
  <cols>
    <col min="1" max="1" width="6.88671875" style="19" customWidth="1"/>
    <col min="2" max="2" width="17.77734375" style="95" customWidth="1"/>
    <col min="3" max="3" width="6.88671875" customWidth="1"/>
    <col min="4" max="4" width="32.5546875" customWidth="1"/>
    <col min="5" max="5" width="7.44140625" customWidth="1"/>
    <col min="6" max="6" width="6.77734375" customWidth="1"/>
    <col min="7" max="7" width="7.77734375" style="21" customWidth="1"/>
    <col min="8" max="8" width="7.5546875" style="21" customWidth="1"/>
    <col min="9" max="9" width="6.5546875" style="21" customWidth="1"/>
    <col min="10" max="10" width="7.21875" style="21" customWidth="1"/>
  </cols>
  <sheetData>
    <row r="1" spans="1:12" x14ac:dyDescent="0.3">
      <c r="A1" t="s">
        <v>159</v>
      </c>
      <c r="B1" s="144" t="s">
        <v>160</v>
      </c>
      <c r="C1" s="145"/>
      <c r="D1" s="146"/>
      <c r="E1" t="s">
        <v>161</v>
      </c>
      <c r="G1" s="96"/>
      <c r="H1"/>
      <c r="I1" t="s">
        <v>162</v>
      </c>
      <c r="J1" s="97"/>
    </row>
    <row r="2" spans="1:12" s="89" customFormat="1" ht="13.35" customHeight="1" x14ac:dyDescent="0.2">
      <c r="A2" s="156" t="s">
        <v>150</v>
      </c>
      <c r="B2" s="154" t="s">
        <v>155</v>
      </c>
      <c r="C2" s="143" t="s">
        <v>0</v>
      </c>
      <c r="D2" s="143" t="s">
        <v>1</v>
      </c>
      <c r="E2" s="143" t="s">
        <v>2</v>
      </c>
      <c r="F2" s="147" t="s">
        <v>4</v>
      </c>
      <c r="G2" s="143" t="s">
        <v>3</v>
      </c>
      <c r="H2" s="143" t="s">
        <v>5</v>
      </c>
      <c r="I2" s="143"/>
      <c r="J2" s="143"/>
    </row>
    <row r="3" spans="1:12" s="89" customFormat="1" ht="26.55" customHeight="1" thickBot="1" x14ac:dyDescent="0.25">
      <c r="A3" s="157"/>
      <c r="B3" s="155"/>
      <c r="C3" s="147"/>
      <c r="D3" s="147"/>
      <c r="E3" s="147"/>
      <c r="F3" s="158"/>
      <c r="G3" s="147"/>
      <c r="H3" s="90" t="s">
        <v>6</v>
      </c>
      <c r="I3" s="90" t="s">
        <v>7</v>
      </c>
      <c r="J3" s="90" t="s">
        <v>8</v>
      </c>
    </row>
    <row r="4" spans="1:12" s="1" customFormat="1" ht="12.15" customHeight="1" x14ac:dyDescent="0.25">
      <c r="A4" s="148" t="s">
        <v>151</v>
      </c>
      <c r="B4" s="91" t="s">
        <v>156</v>
      </c>
      <c r="C4" s="36">
        <v>175</v>
      </c>
      <c r="D4" s="50" t="s">
        <v>9</v>
      </c>
      <c r="E4" s="48">
        <v>160</v>
      </c>
      <c r="F4" s="51">
        <v>22.25</v>
      </c>
      <c r="G4" s="51">
        <f>260*160/210</f>
        <v>198.0952380952381</v>
      </c>
      <c r="H4" s="51">
        <f>6.08*160/210</f>
        <v>4.6323809523809523</v>
      </c>
      <c r="I4" s="51">
        <f>11.18*160/210</f>
        <v>8.5180952380952384</v>
      </c>
      <c r="J4" s="52">
        <f>33.48*160/210</f>
        <v>25.508571428571425</v>
      </c>
    </row>
    <row r="5" spans="1:12" s="1" customFormat="1" ht="12.15" customHeight="1" x14ac:dyDescent="0.25">
      <c r="A5" s="149"/>
      <c r="B5" s="92"/>
      <c r="C5" s="2" t="s">
        <v>10</v>
      </c>
      <c r="D5" s="11" t="s">
        <v>11</v>
      </c>
      <c r="E5" s="3">
        <v>20</v>
      </c>
      <c r="F5" s="5">
        <v>14.61</v>
      </c>
      <c r="G5" s="5">
        <f>108*20/30</f>
        <v>72</v>
      </c>
      <c r="H5" s="5">
        <f>6.96*20/30</f>
        <v>4.6399999999999997</v>
      </c>
      <c r="I5" s="5">
        <f>8.85*20/30</f>
        <v>5.9</v>
      </c>
      <c r="J5" s="53">
        <v>0</v>
      </c>
    </row>
    <row r="6" spans="1:12" s="1" customFormat="1" ht="12.15" customHeight="1" x14ac:dyDescent="0.25">
      <c r="A6" s="149"/>
      <c r="B6" s="92" t="s">
        <v>143</v>
      </c>
      <c r="C6" s="2" t="s">
        <v>12</v>
      </c>
      <c r="D6" s="11" t="s">
        <v>13</v>
      </c>
      <c r="E6" s="2">
        <v>200</v>
      </c>
      <c r="F6" s="5">
        <v>6</v>
      </c>
      <c r="G6" s="5">
        <v>81</v>
      </c>
      <c r="H6" s="20">
        <v>1.52</v>
      </c>
      <c r="I6" s="5">
        <v>1.35</v>
      </c>
      <c r="J6" s="53">
        <v>15.9</v>
      </c>
    </row>
    <row r="7" spans="1:12" s="1" customFormat="1" ht="12.15" customHeight="1" x14ac:dyDescent="0.25">
      <c r="A7" s="149"/>
      <c r="B7" s="92" t="s">
        <v>144</v>
      </c>
      <c r="C7" s="2" t="s">
        <v>14</v>
      </c>
      <c r="D7" s="11" t="s">
        <v>15</v>
      </c>
      <c r="E7" s="3">
        <v>100</v>
      </c>
      <c r="F7" s="5">
        <v>6</v>
      </c>
      <c r="G7" s="5">
        <v>56.4</v>
      </c>
      <c r="H7" s="5">
        <v>0.5</v>
      </c>
      <c r="I7" s="5">
        <v>0.5</v>
      </c>
      <c r="J7" s="53">
        <v>11.8</v>
      </c>
    </row>
    <row r="8" spans="1:12" s="1" customFormat="1" ht="12.15" customHeight="1" x14ac:dyDescent="0.25">
      <c r="A8" s="149"/>
      <c r="B8" s="92" t="s">
        <v>145</v>
      </c>
      <c r="C8" s="2"/>
      <c r="D8" s="11" t="s">
        <v>16</v>
      </c>
      <c r="E8" s="3">
        <v>30</v>
      </c>
      <c r="F8" s="5">
        <v>2.2400000000000002</v>
      </c>
      <c r="G8" s="5">
        <v>142.1</v>
      </c>
      <c r="H8" s="5">
        <v>4.5999999999999996</v>
      </c>
      <c r="I8" s="5">
        <v>0.4</v>
      </c>
      <c r="J8" s="53">
        <v>30.1</v>
      </c>
    </row>
    <row r="9" spans="1:12" s="1" customFormat="1" ht="12.15" customHeight="1" x14ac:dyDescent="0.25">
      <c r="A9" s="149"/>
      <c r="B9" s="92" t="s">
        <v>145</v>
      </c>
      <c r="C9" s="2"/>
      <c r="D9" s="11" t="s">
        <v>17</v>
      </c>
      <c r="E9" s="3">
        <v>20</v>
      </c>
      <c r="F9" s="5">
        <v>2.5</v>
      </c>
      <c r="G9" s="5">
        <v>46</v>
      </c>
      <c r="H9" s="5">
        <v>1.1000000000000001</v>
      </c>
      <c r="I9" s="5">
        <v>0.2</v>
      </c>
      <c r="J9" s="53">
        <v>9.9</v>
      </c>
    </row>
    <row r="10" spans="1:12" s="18" customFormat="1" ht="12.15" customHeight="1" thickBot="1" x14ac:dyDescent="0.3">
      <c r="A10" s="150"/>
      <c r="B10" s="93"/>
      <c r="C10" s="66"/>
      <c r="D10" s="67" t="s">
        <v>18</v>
      </c>
      <c r="E10" s="68">
        <v>520</v>
      </c>
      <c r="F10" s="46">
        <f>SUM(F4:F9)</f>
        <v>53.6</v>
      </c>
      <c r="G10" s="69">
        <f>SUM(G4:G9)</f>
        <v>595.59523809523807</v>
      </c>
      <c r="H10" s="70">
        <f>SUM(H4:H9)</f>
        <v>16.992380952380952</v>
      </c>
      <c r="I10" s="69">
        <f>SUM(I4:I9)</f>
        <v>16.868095238095236</v>
      </c>
      <c r="J10" s="71">
        <f>SUM(J4:J9)</f>
        <v>93.208571428571446</v>
      </c>
      <c r="L10" s="86"/>
    </row>
    <row r="11" spans="1:12" s="1" customFormat="1" ht="12.15" customHeight="1" x14ac:dyDescent="0.25">
      <c r="A11" s="151" t="s">
        <v>167</v>
      </c>
      <c r="B11" s="91" t="s">
        <v>141</v>
      </c>
      <c r="C11" s="34" t="s">
        <v>19</v>
      </c>
      <c r="D11" s="55" t="s">
        <v>20</v>
      </c>
      <c r="E11" s="56">
        <v>60</v>
      </c>
      <c r="F11" s="57">
        <v>10</v>
      </c>
      <c r="G11" s="57">
        <f>1338*0.06</f>
        <v>80.28</v>
      </c>
      <c r="H11" s="58">
        <f>27.31*0.06</f>
        <v>1.6385999999999998</v>
      </c>
      <c r="I11" s="57">
        <f>1.87*0.06</f>
        <v>0.11220000000000001</v>
      </c>
      <c r="J11" s="59">
        <f>145.45*0.06</f>
        <v>8.7269999999999985</v>
      </c>
    </row>
    <row r="12" spans="1:12" s="1" customFormat="1" ht="12.15" customHeight="1" x14ac:dyDescent="0.25">
      <c r="A12" s="152"/>
      <c r="B12" s="92" t="s">
        <v>146</v>
      </c>
      <c r="C12" s="22" t="s">
        <v>21</v>
      </c>
      <c r="D12" s="23" t="s">
        <v>22</v>
      </c>
      <c r="E12" s="24">
        <v>200</v>
      </c>
      <c r="F12" s="26">
        <v>11.09</v>
      </c>
      <c r="G12" s="26">
        <f>415*0.2</f>
        <v>83</v>
      </c>
      <c r="H12" s="27">
        <f>7.21*0.2</f>
        <v>1.4420000000000002</v>
      </c>
      <c r="I12" s="26">
        <f>19.68*0.2</f>
        <v>3.9359999999999999</v>
      </c>
      <c r="J12" s="60">
        <f>43.73*0.2</f>
        <v>8.7460000000000004</v>
      </c>
    </row>
    <row r="13" spans="1:12" s="1" customFormat="1" ht="12.15" customHeight="1" x14ac:dyDescent="0.25">
      <c r="A13" s="152"/>
      <c r="B13" s="92" t="s">
        <v>147</v>
      </c>
      <c r="C13" s="22">
        <v>171</v>
      </c>
      <c r="D13" s="23" t="s">
        <v>23</v>
      </c>
      <c r="E13" s="24">
        <v>150</v>
      </c>
      <c r="F13" s="26">
        <v>10.28</v>
      </c>
      <c r="G13" s="26">
        <f>220*150/160</f>
        <v>206.25</v>
      </c>
      <c r="H13" s="27">
        <f>4.64*150/150</f>
        <v>4.6399999999999997</v>
      </c>
      <c r="I13" s="26">
        <f>7.79*150/160</f>
        <v>7.3031249999999996</v>
      </c>
      <c r="J13" s="60">
        <f>32.91*150/160</f>
        <v>30.853124999999995</v>
      </c>
    </row>
    <row r="14" spans="1:12" s="1" customFormat="1" ht="12.15" customHeight="1" x14ac:dyDescent="0.25">
      <c r="A14" s="152"/>
      <c r="B14" s="92" t="s">
        <v>148</v>
      </c>
      <c r="C14" s="22" t="s">
        <v>24</v>
      </c>
      <c r="D14" s="23" t="s">
        <v>25</v>
      </c>
      <c r="E14" s="22">
        <v>125</v>
      </c>
      <c r="F14" s="26">
        <f>47.68-0.74</f>
        <v>46.94</v>
      </c>
      <c r="G14" s="26">
        <f>128*125/55</f>
        <v>290.90909090909093</v>
      </c>
      <c r="H14" s="27">
        <f>6.5*125/55</f>
        <v>14.772727272727273</v>
      </c>
      <c r="I14" s="26">
        <f>7.73*125/55</f>
        <v>17.568181818181817</v>
      </c>
      <c r="J14" s="60">
        <f>7.99*125/55</f>
        <v>18.15909090909091</v>
      </c>
      <c r="K14" s="6"/>
    </row>
    <row r="15" spans="1:12" s="1" customFormat="1" ht="12.15" customHeight="1" x14ac:dyDescent="0.25">
      <c r="A15" s="152"/>
      <c r="B15" s="92" t="s">
        <v>149</v>
      </c>
      <c r="C15" s="22" t="s">
        <v>26</v>
      </c>
      <c r="D15" s="23" t="s">
        <v>27</v>
      </c>
      <c r="E15" s="22" t="s">
        <v>28</v>
      </c>
      <c r="F15" s="26">
        <v>8</v>
      </c>
      <c r="G15" s="26">
        <v>83.4</v>
      </c>
      <c r="H15" s="27">
        <f>5*0.2</f>
        <v>1</v>
      </c>
      <c r="I15" s="26">
        <v>0.2</v>
      </c>
      <c r="J15" s="60">
        <v>19.600000000000001</v>
      </c>
    </row>
    <row r="16" spans="1:12" s="1" customFormat="1" ht="12.15" customHeight="1" x14ac:dyDescent="0.25">
      <c r="A16" s="152"/>
      <c r="B16" s="92" t="s">
        <v>145</v>
      </c>
      <c r="C16" s="22"/>
      <c r="D16" s="23" t="s">
        <v>16</v>
      </c>
      <c r="E16" s="24">
        <v>30</v>
      </c>
      <c r="F16" s="26">
        <v>2.2400000000000002</v>
      </c>
      <c r="G16" s="26">
        <v>71</v>
      </c>
      <c r="H16" s="27">
        <v>2.2999999999999998</v>
      </c>
      <c r="I16" s="26">
        <v>0.2</v>
      </c>
      <c r="J16" s="60">
        <v>15.1</v>
      </c>
      <c r="L16" s="195"/>
    </row>
    <row r="17" spans="1:12" s="1" customFormat="1" ht="12.15" customHeight="1" x14ac:dyDescent="0.25">
      <c r="A17" s="152"/>
      <c r="B17" s="92" t="s">
        <v>145</v>
      </c>
      <c r="C17" s="22"/>
      <c r="D17" s="23" t="s">
        <v>17</v>
      </c>
      <c r="E17" s="24">
        <v>20</v>
      </c>
      <c r="F17" s="26">
        <v>2.5</v>
      </c>
      <c r="G17" s="26">
        <v>46</v>
      </c>
      <c r="H17" s="26">
        <v>1.1000000000000001</v>
      </c>
      <c r="I17" s="26">
        <v>0.2</v>
      </c>
      <c r="J17" s="60">
        <v>9.9</v>
      </c>
    </row>
    <row r="18" spans="1:12" s="18" customFormat="1" ht="21.6" customHeight="1" thickBot="1" x14ac:dyDescent="0.35">
      <c r="A18" s="153"/>
      <c r="B18" s="94"/>
      <c r="C18" s="78"/>
      <c r="D18" s="81" t="s">
        <v>18</v>
      </c>
      <c r="E18" s="82">
        <v>765</v>
      </c>
      <c r="F18" s="63">
        <f>SUM(F11:F17)</f>
        <v>91.05</v>
      </c>
      <c r="G18" s="83">
        <f>SUM(G11:G17)</f>
        <v>860.83909090909094</v>
      </c>
      <c r="H18" s="84">
        <f>SUM(H11:H16)</f>
        <v>25.793327272727272</v>
      </c>
      <c r="I18" s="83">
        <f>SUM(I11:I17)</f>
        <v>29.519506818181814</v>
      </c>
      <c r="J18" s="85">
        <f>SUM(J11:J17)</f>
        <v>111.08521590909089</v>
      </c>
      <c r="L18" s="86"/>
    </row>
  </sheetData>
  <mergeCells count="11">
    <mergeCell ref="H2:J2"/>
    <mergeCell ref="B1:D1"/>
    <mergeCell ref="G2:G3"/>
    <mergeCell ref="A4:A10"/>
    <mergeCell ref="A11:A18"/>
    <mergeCell ref="B2:B3"/>
    <mergeCell ref="A2:A3"/>
    <mergeCell ref="C2:C3"/>
    <mergeCell ref="D2:D3"/>
    <mergeCell ref="E2:E3"/>
    <mergeCell ref="F2:F3"/>
  </mergeCells>
  <pageMargins left="0" right="0" top="0" bottom="0.74803149606299213" header="0.31496062992125984" footer="0.31496062992125984"/>
  <pageSetup paperSize="9" scale="92" orientation="portrait" r:id="rId1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D25" sqref="D25"/>
    </sheetView>
  </sheetViews>
  <sheetFormatPr defaultRowHeight="14.4" x14ac:dyDescent="0.3"/>
  <cols>
    <col min="2" max="2" width="17.21875" customWidth="1"/>
    <col min="4" max="4" width="40.5546875" customWidth="1"/>
    <col min="6" max="10" width="8.88671875" style="129"/>
  </cols>
  <sheetData>
    <row r="1" spans="1:10" x14ac:dyDescent="0.3">
      <c r="A1" t="s">
        <v>159</v>
      </c>
      <c r="B1" s="144" t="s">
        <v>160</v>
      </c>
      <c r="C1" s="145"/>
      <c r="D1" s="146"/>
      <c r="E1" t="s">
        <v>161</v>
      </c>
      <c r="G1" s="130"/>
      <c r="I1" s="129" t="s">
        <v>162</v>
      </c>
      <c r="J1" s="130"/>
    </row>
    <row r="2" spans="1:10" s="89" customFormat="1" ht="13.35" customHeight="1" x14ac:dyDescent="0.2">
      <c r="A2" s="193" t="s">
        <v>150</v>
      </c>
      <c r="B2" s="171" t="s">
        <v>155</v>
      </c>
      <c r="C2" s="161" t="s">
        <v>0</v>
      </c>
      <c r="D2" s="143" t="s">
        <v>1</v>
      </c>
      <c r="E2" s="143" t="s">
        <v>2</v>
      </c>
      <c r="F2" s="160" t="s">
        <v>4</v>
      </c>
      <c r="G2" s="159" t="s">
        <v>3</v>
      </c>
      <c r="H2" s="159" t="s">
        <v>5</v>
      </c>
      <c r="I2" s="159"/>
      <c r="J2" s="159"/>
    </row>
    <row r="3" spans="1:10" s="89" customFormat="1" ht="26.55" customHeight="1" thickBot="1" x14ac:dyDescent="0.25">
      <c r="A3" s="194"/>
      <c r="B3" s="191"/>
      <c r="C3" s="162"/>
      <c r="D3" s="147"/>
      <c r="E3" s="147"/>
      <c r="F3" s="163"/>
      <c r="G3" s="160"/>
      <c r="H3" s="128" t="s">
        <v>6</v>
      </c>
      <c r="I3" s="128" t="s">
        <v>7</v>
      </c>
      <c r="J3" s="128" t="s">
        <v>8</v>
      </c>
    </row>
    <row r="4" spans="1:10" s="1" customFormat="1" ht="12.15" customHeight="1" x14ac:dyDescent="0.25">
      <c r="A4" s="187" t="s">
        <v>139</v>
      </c>
      <c r="B4" s="49" t="s">
        <v>141</v>
      </c>
      <c r="C4" s="34" t="s">
        <v>81</v>
      </c>
      <c r="D4" s="55" t="s">
        <v>82</v>
      </c>
      <c r="E4" s="56">
        <v>80</v>
      </c>
      <c r="F4" s="103">
        <v>12</v>
      </c>
      <c r="G4" s="57">
        <f>1340*0.08</f>
        <v>107.2</v>
      </c>
      <c r="H4" s="57">
        <f>18.52*0.08</f>
        <v>1.4816</v>
      </c>
      <c r="I4" s="57">
        <f>60.42*0.08</f>
        <v>4.8336000000000006</v>
      </c>
      <c r="J4" s="59">
        <f>180.63*0.08</f>
        <v>14.4504</v>
      </c>
    </row>
    <row r="5" spans="1:10" s="1" customFormat="1" ht="12.15" customHeight="1" x14ac:dyDescent="0.25">
      <c r="A5" s="149"/>
      <c r="B5" s="14" t="s">
        <v>147</v>
      </c>
      <c r="C5" s="22" t="s">
        <v>133</v>
      </c>
      <c r="D5" s="23" t="s">
        <v>134</v>
      </c>
      <c r="E5" s="24">
        <v>150</v>
      </c>
      <c r="F5" s="98">
        <v>9</v>
      </c>
      <c r="G5" s="26">
        <f>751*0.15</f>
        <v>112.64999999999999</v>
      </c>
      <c r="H5" s="26">
        <f>20.65*0.15</f>
        <v>3.0974999999999997</v>
      </c>
      <c r="I5" s="26">
        <f>32.37*0.15</f>
        <v>4.8554999999999993</v>
      </c>
      <c r="J5" s="60">
        <f>94.27*0.15</f>
        <v>14.140499999999999</v>
      </c>
    </row>
    <row r="6" spans="1:10" s="1" customFormat="1" ht="12.15" customHeight="1" x14ac:dyDescent="0.25">
      <c r="A6" s="149"/>
      <c r="B6" s="14" t="s">
        <v>165</v>
      </c>
      <c r="C6" s="22" t="s">
        <v>131</v>
      </c>
      <c r="D6" s="23" t="s">
        <v>135</v>
      </c>
      <c r="E6" s="24">
        <v>90</v>
      </c>
      <c r="F6" s="98">
        <f>33.74+0.248</f>
        <v>33.988</v>
      </c>
      <c r="G6" s="26">
        <f>142*90/110</f>
        <v>116.18181818181819</v>
      </c>
      <c r="H6" s="26">
        <f>7.46*90/110</f>
        <v>6.1036363636363635</v>
      </c>
      <c r="I6" s="26">
        <f>8.29*90/110</f>
        <v>6.7827272727272723</v>
      </c>
      <c r="J6" s="60">
        <f>9.44*90/110</f>
        <v>7.7236363636363627</v>
      </c>
    </row>
    <row r="7" spans="1:10" s="1" customFormat="1" ht="12.15" customHeight="1" x14ac:dyDescent="0.25">
      <c r="A7" s="149"/>
      <c r="B7" s="14" t="s">
        <v>149</v>
      </c>
      <c r="C7" s="22" t="s">
        <v>26</v>
      </c>
      <c r="D7" s="23" t="s">
        <v>53</v>
      </c>
      <c r="E7" s="22">
        <v>180</v>
      </c>
      <c r="F7" s="98">
        <v>8</v>
      </c>
      <c r="G7" s="26">
        <v>83.4</v>
      </c>
      <c r="H7" s="26">
        <v>1</v>
      </c>
      <c r="I7" s="26">
        <v>0.2</v>
      </c>
      <c r="J7" s="60">
        <v>19.600000000000001</v>
      </c>
    </row>
    <row r="8" spans="1:10" s="1" customFormat="1" ht="12.15" customHeight="1" x14ac:dyDescent="0.25">
      <c r="A8" s="149"/>
      <c r="B8" s="14" t="s">
        <v>145</v>
      </c>
      <c r="C8" s="22"/>
      <c r="D8" s="23" t="s">
        <v>16</v>
      </c>
      <c r="E8" s="24">
        <v>20</v>
      </c>
      <c r="F8" s="98">
        <v>1.5</v>
      </c>
      <c r="G8" s="26">
        <v>47.4</v>
      </c>
      <c r="H8" s="26">
        <v>1.5</v>
      </c>
      <c r="I8" s="26">
        <v>0.1</v>
      </c>
      <c r="J8" s="60">
        <v>10</v>
      </c>
    </row>
    <row r="9" spans="1:10" s="1" customFormat="1" ht="12.15" customHeight="1" x14ac:dyDescent="0.25">
      <c r="A9" s="149"/>
      <c r="B9" s="14" t="s">
        <v>145</v>
      </c>
      <c r="C9" s="22"/>
      <c r="D9" s="23" t="s">
        <v>17</v>
      </c>
      <c r="E9" s="24">
        <v>20</v>
      </c>
      <c r="F9" s="98">
        <v>2.5</v>
      </c>
      <c r="G9" s="26">
        <v>40.799999999999997</v>
      </c>
      <c r="H9" s="26">
        <v>1.3</v>
      </c>
      <c r="I9" s="26">
        <v>0.2</v>
      </c>
      <c r="J9" s="60">
        <v>8.5</v>
      </c>
    </row>
    <row r="10" spans="1:10" s="1" customFormat="1" ht="21.6" customHeight="1" thickBot="1" x14ac:dyDescent="0.3">
      <c r="A10" s="150"/>
      <c r="B10" s="54"/>
      <c r="C10" s="42"/>
      <c r="D10" s="61" t="s">
        <v>18</v>
      </c>
      <c r="E10" s="62">
        <v>540</v>
      </c>
      <c r="F10" s="63">
        <f>SUM(F4:F9)</f>
        <v>66.988</v>
      </c>
      <c r="G10" s="131">
        <f>SUM(G4:G9)</f>
        <v>507.63181818181812</v>
      </c>
      <c r="H10" s="131">
        <f>SUM(H4:H9)</f>
        <v>14.482736363636363</v>
      </c>
      <c r="I10" s="131">
        <f>SUM(I4:I9)</f>
        <v>16.971827272727271</v>
      </c>
      <c r="J10" s="132">
        <f>SUM(J4:J9)</f>
        <v>74.414536363636358</v>
      </c>
    </row>
    <row r="11" spans="1:10" s="1" customFormat="1" ht="12.15" customHeight="1" x14ac:dyDescent="0.25">
      <c r="A11" s="187" t="s">
        <v>140</v>
      </c>
      <c r="B11" s="49" t="s">
        <v>141</v>
      </c>
      <c r="C11" s="34" t="s">
        <v>19</v>
      </c>
      <c r="D11" s="55" t="s">
        <v>20</v>
      </c>
      <c r="E11" s="56">
        <v>60</v>
      </c>
      <c r="F11" s="103">
        <v>10</v>
      </c>
      <c r="G11" s="57">
        <f>1338*0.06</f>
        <v>80.28</v>
      </c>
      <c r="H11" s="57">
        <f>27.31*0.06</f>
        <v>1.6385999999999998</v>
      </c>
      <c r="I11" s="57">
        <f>1.87*0.06</f>
        <v>0.11220000000000001</v>
      </c>
      <c r="J11" s="59">
        <f>145.45*0.06</f>
        <v>8.7269999999999985</v>
      </c>
    </row>
    <row r="12" spans="1:10" s="1" customFormat="1" ht="12.15" customHeight="1" x14ac:dyDescent="0.25">
      <c r="A12" s="149"/>
      <c r="B12" s="14" t="s">
        <v>146</v>
      </c>
      <c r="C12" s="22" t="s">
        <v>21</v>
      </c>
      <c r="D12" s="23" t="s">
        <v>22</v>
      </c>
      <c r="E12" s="24">
        <v>200</v>
      </c>
      <c r="F12" s="98">
        <v>11.09</v>
      </c>
      <c r="G12" s="26">
        <f>415*0.2</f>
        <v>83</v>
      </c>
      <c r="H12" s="26">
        <f>7.21*0.2</f>
        <v>1.4420000000000002</v>
      </c>
      <c r="I12" s="26">
        <f>19.68*0.2</f>
        <v>3.9359999999999999</v>
      </c>
      <c r="J12" s="60">
        <f>43.73*0.2</f>
        <v>8.7460000000000004</v>
      </c>
    </row>
    <row r="13" spans="1:10" s="1" customFormat="1" ht="12.15" customHeight="1" x14ac:dyDescent="0.25">
      <c r="A13" s="149"/>
      <c r="B13" s="14" t="s">
        <v>147</v>
      </c>
      <c r="C13" s="22" t="s">
        <v>87</v>
      </c>
      <c r="D13" s="23" t="s">
        <v>110</v>
      </c>
      <c r="E13" s="24">
        <v>150</v>
      </c>
      <c r="F13" s="98">
        <v>10</v>
      </c>
      <c r="G13" s="26">
        <f>915*0.15</f>
        <v>137.25</v>
      </c>
      <c r="H13" s="26">
        <f>20.43*0.15</f>
        <v>3.0644999999999998</v>
      </c>
      <c r="I13" s="26">
        <f>32.01*0.15</f>
        <v>4.8014999999999999</v>
      </c>
      <c r="J13" s="60">
        <f>136.26*0.15</f>
        <v>20.438999999999997</v>
      </c>
    </row>
    <row r="14" spans="1:10" s="1" customFormat="1" ht="12.15" customHeight="1" x14ac:dyDescent="0.25">
      <c r="A14" s="149"/>
      <c r="B14" s="14" t="s">
        <v>165</v>
      </c>
      <c r="C14" s="22" t="s">
        <v>136</v>
      </c>
      <c r="D14" s="23" t="s">
        <v>137</v>
      </c>
      <c r="E14" s="24">
        <v>100</v>
      </c>
      <c r="F14" s="98">
        <f>92.68-52</f>
        <v>40.680000000000007</v>
      </c>
      <c r="G14" s="26">
        <v>185</v>
      </c>
      <c r="H14" s="26">
        <v>13.26</v>
      </c>
      <c r="I14" s="26">
        <v>11.23</v>
      </c>
      <c r="J14" s="60">
        <v>2.1800000000000002</v>
      </c>
    </row>
    <row r="15" spans="1:10" s="1" customFormat="1" ht="12.15" customHeight="1" x14ac:dyDescent="0.25">
      <c r="A15" s="149"/>
      <c r="B15" s="14" t="s">
        <v>143</v>
      </c>
      <c r="C15" s="22" t="s">
        <v>76</v>
      </c>
      <c r="D15" s="23" t="s">
        <v>138</v>
      </c>
      <c r="E15" s="24">
        <v>200</v>
      </c>
      <c r="F15" s="98">
        <v>6.5</v>
      </c>
      <c r="G15" s="26">
        <v>154.6</v>
      </c>
      <c r="H15" s="26">
        <v>0.89</v>
      </c>
      <c r="I15" s="26">
        <v>0.06</v>
      </c>
      <c r="J15" s="60">
        <v>32.75</v>
      </c>
    </row>
    <row r="16" spans="1:10" s="1" customFormat="1" ht="12.15" customHeight="1" x14ac:dyDescent="0.25">
      <c r="A16" s="149"/>
      <c r="B16" s="14" t="s">
        <v>144</v>
      </c>
      <c r="C16" s="22" t="s">
        <v>14</v>
      </c>
      <c r="D16" s="23" t="s">
        <v>15</v>
      </c>
      <c r="E16" s="24">
        <v>100</v>
      </c>
      <c r="F16" s="98">
        <v>6</v>
      </c>
      <c r="G16" s="26">
        <v>56.4</v>
      </c>
      <c r="H16" s="26">
        <v>0.5</v>
      </c>
      <c r="I16" s="26">
        <v>0.5</v>
      </c>
      <c r="J16" s="60">
        <v>11.8</v>
      </c>
    </row>
    <row r="17" spans="1:10" s="1" customFormat="1" ht="12.15" customHeight="1" x14ac:dyDescent="0.25">
      <c r="A17" s="149"/>
      <c r="B17" s="14" t="s">
        <v>145</v>
      </c>
      <c r="C17" s="22"/>
      <c r="D17" s="23" t="s">
        <v>16</v>
      </c>
      <c r="E17" s="24">
        <v>50</v>
      </c>
      <c r="F17" s="98">
        <v>3.7</v>
      </c>
      <c r="G17" s="26">
        <v>118.4</v>
      </c>
      <c r="H17" s="26">
        <v>3.8</v>
      </c>
      <c r="I17" s="26">
        <v>0.3</v>
      </c>
      <c r="J17" s="60">
        <v>25.1</v>
      </c>
    </row>
    <row r="18" spans="1:10" s="1" customFormat="1" ht="12.15" customHeight="1" x14ac:dyDescent="0.25">
      <c r="A18" s="149"/>
      <c r="B18" s="14" t="s">
        <v>145</v>
      </c>
      <c r="C18" s="22"/>
      <c r="D18" s="23" t="s">
        <v>17</v>
      </c>
      <c r="E18" s="24">
        <v>30</v>
      </c>
      <c r="F18" s="98">
        <v>3.8</v>
      </c>
      <c r="G18" s="26">
        <v>61.2</v>
      </c>
      <c r="H18" s="26">
        <v>2</v>
      </c>
      <c r="I18" s="26">
        <v>0.3</v>
      </c>
      <c r="J18" s="60">
        <v>12.7</v>
      </c>
    </row>
    <row r="19" spans="1:10" s="1" customFormat="1" ht="21.6" customHeight="1" thickBot="1" x14ac:dyDescent="0.3">
      <c r="A19" s="150"/>
      <c r="B19" s="54"/>
      <c r="C19" s="42"/>
      <c r="D19" s="61" t="s">
        <v>18</v>
      </c>
      <c r="E19" s="62">
        <v>890</v>
      </c>
      <c r="F19" s="63">
        <f>SUM(F11:F18)</f>
        <v>91.77000000000001</v>
      </c>
      <c r="G19" s="131">
        <f>SUM(G11:G18)</f>
        <v>876.13</v>
      </c>
      <c r="H19" s="131">
        <f>SUM(H11:H18)</f>
        <v>26.595099999999999</v>
      </c>
      <c r="I19" s="131">
        <f>SUM(I11:I18)</f>
        <v>21.239699999999999</v>
      </c>
      <c r="J19" s="132">
        <f>SUM(J11:J18)</f>
        <v>122.44199999999999</v>
      </c>
    </row>
  </sheetData>
  <mergeCells count="11">
    <mergeCell ref="B1:D1"/>
    <mergeCell ref="A2:A3"/>
    <mergeCell ref="B2:B3"/>
    <mergeCell ref="C2:C3"/>
    <mergeCell ref="D2:D3"/>
    <mergeCell ref="A11:A19"/>
    <mergeCell ref="F2:F3"/>
    <mergeCell ref="G2:G3"/>
    <mergeCell ref="H2:J2"/>
    <mergeCell ref="A4:A10"/>
    <mergeCell ref="E2:E3"/>
  </mergeCells>
  <pageMargins left="0.7" right="0.7" top="0.75" bottom="0.75" header="0.3" footer="0.3"/>
  <pageSetup paperSize="9" scale="68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M15" sqref="M15"/>
    </sheetView>
  </sheetViews>
  <sheetFormatPr defaultRowHeight="14.4" x14ac:dyDescent="0.3"/>
  <cols>
    <col min="1" max="1" width="6.33203125" style="28" customWidth="1"/>
    <col min="2" max="2" width="22.88671875" style="76" customWidth="1"/>
    <col min="4" max="4" width="40.109375" customWidth="1"/>
    <col min="6" max="10" width="8.88671875" style="126"/>
  </cols>
  <sheetData>
    <row r="1" spans="1:11" x14ac:dyDescent="0.3">
      <c r="A1" t="s">
        <v>159</v>
      </c>
      <c r="B1" s="144" t="s">
        <v>160</v>
      </c>
      <c r="C1" s="145"/>
      <c r="D1" s="146"/>
      <c r="E1" t="s">
        <v>161</v>
      </c>
      <c r="F1" s="127"/>
      <c r="I1" s="126" t="s">
        <v>162</v>
      </c>
      <c r="J1" s="127"/>
    </row>
    <row r="2" spans="1:11" s="89" customFormat="1" ht="13.35" customHeight="1" x14ac:dyDescent="0.2">
      <c r="A2" s="169" t="s">
        <v>150</v>
      </c>
      <c r="B2" s="171" t="s">
        <v>155</v>
      </c>
      <c r="C2" s="161" t="s">
        <v>0</v>
      </c>
      <c r="D2" s="143" t="s">
        <v>1</v>
      </c>
      <c r="E2" s="143" t="s">
        <v>2</v>
      </c>
      <c r="F2" s="160" t="s">
        <v>4</v>
      </c>
      <c r="G2" s="159" t="s">
        <v>3</v>
      </c>
      <c r="H2" s="159" t="s">
        <v>5</v>
      </c>
      <c r="I2" s="159"/>
      <c r="J2" s="159"/>
    </row>
    <row r="3" spans="1:11" s="89" customFormat="1" ht="26.55" customHeight="1" thickBot="1" x14ac:dyDescent="0.25">
      <c r="A3" s="170"/>
      <c r="B3" s="172"/>
      <c r="C3" s="162"/>
      <c r="D3" s="147"/>
      <c r="E3" s="147"/>
      <c r="F3" s="163"/>
      <c r="G3" s="160"/>
      <c r="H3" s="128" t="s">
        <v>6</v>
      </c>
      <c r="I3" s="128" t="s">
        <v>7</v>
      </c>
      <c r="J3" s="128" t="s">
        <v>8</v>
      </c>
    </row>
    <row r="4" spans="1:11" s="1" customFormat="1" ht="12.15" customHeight="1" x14ac:dyDescent="0.25">
      <c r="A4" s="166" t="s">
        <v>151</v>
      </c>
      <c r="B4" s="87" t="s">
        <v>141</v>
      </c>
      <c r="C4" s="34" t="s">
        <v>31</v>
      </c>
      <c r="D4" s="35" t="s">
        <v>32</v>
      </c>
      <c r="E4" s="36">
        <v>60</v>
      </c>
      <c r="F4" s="38">
        <v>8</v>
      </c>
      <c r="G4" s="37">
        <f>591*0.06</f>
        <v>35.46</v>
      </c>
      <c r="H4" s="37">
        <f>8.48*0.06</f>
        <v>0.50880000000000003</v>
      </c>
      <c r="I4" s="37">
        <f>50.4*0.06</f>
        <v>3.024</v>
      </c>
      <c r="J4" s="39">
        <f>25.76*0.06</f>
        <v>1.5456000000000001</v>
      </c>
      <c r="K4" s="6"/>
    </row>
    <row r="5" spans="1:11" s="1" customFormat="1" ht="12.15" customHeight="1" x14ac:dyDescent="0.25">
      <c r="A5" s="167"/>
      <c r="B5" s="32" t="s">
        <v>147</v>
      </c>
      <c r="C5" s="22">
        <v>143</v>
      </c>
      <c r="D5" s="15" t="s">
        <v>33</v>
      </c>
      <c r="E5" s="2" t="s">
        <v>34</v>
      </c>
      <c r="F5" s="7">
        <f>14.61+0.248</f>
        <v>14.857999999999999</v>
      </c>
      <c r="G5" s="4">
        <f>142*150/105</f>
        <v>202.85714285714286</v>
      </c>
      <c r="H5" s="4">
        <f>1.77*150/105</f>
        <v>2.5285714285714285</v>
      </c>
      <c r="I5" s="4">
        <f>10.99*150/105</f>
        <v>15.7</v>
      </c>
      <c r="J5" s="40">
        <f>8.5*150/105</f>
        <v>12.142857142857142</v>
      </c>
    </row>
    <row r="6" spans="1:11" s="1" customFormat="1" ht="12.15" customHeight="1" x14ac:dyDescent="0.25">
      <c r="A6" s="167"/>
      <c r="B6" s="32" t="s">
        <v>148</v>
      </c>
      <c r="C6" s="22" t="s">
        <v>35</v>
      </c>
      <c r="D6" s="15" t="s">
        <v>36</v>
      </c>
      <c r="E6" s="2">
        <v>90</v>
      </c>
      <c r="F6" s="7">
        <v>40</v>
      </c>
      <c r="G6" s="4">
        <f>161*90/55</f>
        <v>263.45454545454544</v>
      </c>
      <c r="H6" s="4">
        <f>7.92*90/55</f>
        <v>12.959999999999999</v>
      </c>
      <c r="I6" s="4">
        <f>11.27*90/55</f>
        <v>18.441818181818181</v>
      </c>
      <c r="J6" s="40">
        <f>6.61*90/55</f>
        <v>10.816363636363636</v>
      </c>
    </row>
    <row r="7" spans="1:11" s="1" customFormat="1" ht="12" customHeight="1" x14ac:dyDescent="0.25">
      <c r="A7" s="167"/>
      <c r="B7" s="32" t="s">
        <v>143</v>
      </c>
      <c r="C7" s="22" t="s">
        <v>37</v>
      </c>
      <c r="D7" s="29" t="s">
        <v>38</v>
      </c>
      <c r="E7" s="8">
        <v>200</v>
      </c>
      <c r="F7" s="10">
        <v>6.5</v>
      </c>
      <c r="G7" s="9">
        <f>503*0.2</f>
        <v>100.60000000000001</v>
      </c>
      <c r="H7" s="9">
        <f>15.83*0.2</f>
        <v>3.1660000000000004</v>
      </c>
      <c r="I7" s="9">
        <f>13.39*0.2</f>
        <v>2.6780000000000004</v>
      </c>
      <c r="J7" s="40">
        <f>79.73*0.2</f>
        <v>15.946000000000002</v>
      </c>
    </row>
    <row r="8" spans="1:11" s="1" customFormat="1" ht="12.15" customHeight="1" x14ac:dyDescent="0.25">
      <c r="A8" s="167"/>
      <c r="B8" s="32" t="s">
        <v>145</v>
      </c>
      <c r="C8" s="22"/>
      <c r="D8" s="15" t="s">
        <v>16</v>
      </c>
      <c r="E8" s="3">
        <v>20</v>
      </c>
      <c r="F8" s="7">
        <v>1.5</v>
      </c>
      <c r="G8" s="4">
        <f>118.4*20/50</f>
        <v>47.36</v>
      </c>
      <c r="H8" s="4">
        <f>3.8*20/50</f>
        <v>1.52</v>
      </c>
      <c r="I8" s="4">
        <v>0.1</v>
      </c>
      <c r="J8" s="40">
        <v>10</v>
      </c>
    </row>
    <row r="9" spans="1:11" s="1" customFormat="1" ht="12.15" customHeight="1" x14ac:dyDescent="0.25">
      <c r="A9" s="167"/>
      <c r="B9" s="32" t="s">
        <v>145</v>
      </c>
      <c r="C9" s="22"/>
      <c r="D9" s="15" t="s">
        <v>17</v>
      </c>
      <c r="E9" s="3">
        <v>20</v>
      </c>
      <c r="F9" s="7">
        <v>2.5</v>
      </c>
      <c r="G9" s="4">
        <v>40.799999999999997</v>
      </c>
      <c r="H9" s="4">
        <v>1.3</v>
      </c>
      <c r="I9" s="4">
        <v>0.2</v>
      </c>
      <c r="J9" s="40">
        <v>8.5</v>
      </c>
    </row>
    <row r="10" spans="1:11" s="1" customFormat="1" ht="12.15" hidden="1" customHeight="1" x14ac:dyDescent="0.25">
      <c r="A10" s="167"/>
      <c r="B10" s="32" t="s">
        <v>145</v>
      </c>
      <c r="C10" s="17"/>
      <c r="D10" s="15"/>
      <c r="E10" s="2"/>
      <c r="F10" s="7"/>
      <c r="G10" s="4"/>
      <c r="H10" s="4"/>
      <c r="I10" s="4"/>
      <c r="J10" s="40"/>
    </row>
    <row r="11" spans="1:11" s="18" customFormat="1" ht="21.6" customHeight="1" thickBot="1" x14ac:dyDescent="0.3">
      <c r="A11" s="168"/>
      <c r="B11" s="77"/>
      <c r="C11" s="78"/>
      <c r="D11" s="73" t="s">
        <v>18</v>
      </c>
      <c r="E11" s="68">
        <f>SUM(E4:E10)</f>
        <v>390</v>
      </c>
      <c r="F11" s="46">
        <f>SUM(F4:F9)</f>
        <v>73.358000000000004</v>
      </c>
      <c r="G11" s="79">
        <f>SUM(G4:G10)</f>
        <v>690.5316883116883</v>
      </c>
      <c r="H11" s="79">
        <f>SUM(H4:H10)</f>
        <v>21.983371428571427</v>
      </c>
      <c r="I11" s="79">
        <f>SUM(I4:I10)</f>
        <v>40.143818181818183</v>
      </c>
      <c r="J11" s="80">
        <f>SUM(J4:J10)</f>
        <v>58.950820779220777</v>
      </c>
    </row>
    <row r="12" spans="1:11" s="1" customFormat="1" ht="12.15" customHeight="1" x14ac:dyDescent="0.25">
      <c r="A12" s="151" t="s">
        <v>140</v>
      </c>
      <c r="B12" s="75" t="s">
        <v>141</v>
      </c>
      <c r="C12" s="34" t="s">
        <v>39</v>
      </c>
      <c r="D12" s="35" t="s">
        <v>40</v>
      </c>
      <c r="E12" s="48">
        <v>60</v>
      </c>
      <c r="F12" s="38">
        <v>8</v>
      </c>
      <c r="G12" s="37">
        <f>1319*0.06</f>
        <v>79.14</v>
      </c>
      <c r="H12" s="37">
        <f>46.71*0.06</f>
        <v>2.8026</v>
      </c>
      <c r="I12" s="37">
        <f>93.87*0.06</f>
        <v>5.6322000000000001</v>
      </c>
      <c r="J12" s="39">
        <f>71.9*0.06</f>
        <v>4.3140000000000001</v>
      </c>
    </row>
    <row r="13" spans="1:11" s="1" customFormat="1" ht="12.15" customHeight="1" x14ac:dyDescent="0.25">
      <c r="A13" s="164"/>
      <c r="B13" s="32" t="s">
        <v>146</v>
      </c>
      <c r="C13" s="22" t="s">
        <v>41</v>
      </c>
      <c r="D13" s="15" t="s">
        <v>42</v>
      </c>
      <c r="E13" s="3">
        <v>200</v>
      </c>
      <c r="F13" s="7">
        <v>10.09</v>
      </c>
      <c r="G13" s="4">
        <f>593*0.2</f>
        <v>118.60000000000001</v>
      </c>
      <c r="H13" s="4">
        <f>21.96*0.2</f>
        <v>4.3920000000000003</v>
      </c>
      <c r="I13" s="4">
        <f>21.08*0.2</f>
        <v>4.2160000000000002</v>
      </c>
      <c r="J13" s="40">
        <f>66.14*0.2</f>
        <v>13.228000000000002</v>
      </c>
    </row>
    <row r="14" spans="1:11" s="1" customFormat="1" ht="12.15" customHeight="1" x14ac:dyDescent="0.25">
      <c r="A14" s="164"/>
      <c r="B14" s="32" t="s">
        <v>147</v>
      </c>
      <c r="C14" s="22">
        <v>311</v>
      </c>
      <c r="D14" s="15" t="s">
        <v>43</v>
      </c>
      <c r="E14" s="3">
        <v>150</v>
      </c>
      <c r="F14" s="7">
        <v>11.29</v>
      </c>
      <c r="G14" s="4">
        <f>90*150/100</f>
        <v>135</v>
      </c>
      <c r="H14" s="4">
        <f>2.18*150/100</f>
        <v>3.27</v>
      </c>
      <c r="I14" s="4">
        <f>3.85*150/100</f>
        <v>5.7750000000000004</v>
      </c>
      <c r="J14" s="40">
        <f>21.15*150/105</f>
        <v>30.214285714285715</v>
      </c>
    </row>
    <row r="15" spans="1:11" s="1" customFormat="1" ht="12.15" customHeight="1" x14ac:dyDescent="0.25">
      <c r="A15" s="164"/>
      <c r="B15" s="32" t="s">
        <v>148</v>
      </c>
      <c r="C15" s="22">
        <v>299</v>
      </c>
      <c r="D15" s="15" t="s">
        <v>44</v>
      </c>
      <c r="E15" s="2">
        <v>90</v>
      </c>
      <c r="F15" s="7">
        <v>39.5</v>
      </c>
      <c r="G15" s="4">
        <f>143*90/60</f>
        <v>214.5</v>
      </c>
      <c r="H15" s="4">
        <f>7.81*90/60</f>
        <v>11.715</v>
      </c>
      <c r="I15" s="4">
        <f>8.75*90/60</f>
        <v>13.125</v>
      </c>
      <c r="J15" s="40">
        <f>10.67*150/100</f>
        <v>16.004999999999999</v>
      </c>
    </row>
    <row r="16" spans="1:11" s="1" customFormat="1" ht="12.15" customHeight="1" x14ac:dyDescent="0.25">
      <c r="A16" s="164"/>
      <c r="B16" s="32" t="s">
        <v>149</v>
      </c>
      <c r="C16" s="22" t="s">
        <v>26</v>
      </c>
      <c r="D16" s="15" t="s">
        <v>45</v>
      </c>
      <c r="E16" s="3">
        <v>200</v>
      </c>
      <c r="F16" s="7">
        <v>8</v>
      </c>
      <c r="G16" s="4">
        <v>83.4</v>
      </c>
      <c r="H16" s="4">
        <f>5*0.2</f>
        <v>1</v>
      </c>
      <c r="I16" s="4">
        <v>0.2</v>
      </c>
      <c r="J16" s="40">
        <v>19.600000000000001</v>
      </c>
    </row>
    <row r="17" spans="1:10" s="1" customFormat="1" ht="12.15" customHeight="1" x14ac:dyDescent="0.25">
      <c r="A17" s="164"/>
      <c r="B17" s="32" t="s">
        <v>154</v>
      </c>
      <c r="C17" s="22" t="s">
        <v>46</v>
      </c>
      <c r="D17" s="15" t="s">
        <v>47</v>
      </c>
      <c r="E17" s="3">
        <v>200</v>
      </c>
      <c r="F17" s="7">
        <v>10</v>
      </c>
      <c r="G17" s="4">
        <v>52</v>
      </c>
      <c r="H17" s="4">
        <v>2.8</v>
      </c>
      <c r="I17" s="4">
        <v>2.5</v>
      </c>
      <c r="J17" s="40">
        <v>4.7</v>
      </c>
    </row>
    <row r="18" spans="1:10" s="1" customFormat="1" ht="12.15" customHeight="1" x14ac:dyDescent="0.25">
      <c r="A18" s="164"/>
      <c r="B18" s="32" t="s">
        <v>145</v>
      </c>
      <c r="C18" s="22"/>
      <c r="D18" s="15" t="s">
        <v>16</v>
      </c>
      <c r="E18" s="3">
        <v>30</v>
      </c>
      <c r="F18" s="7">
        <v>2.2400000000000002</v>
      </c>
      <c r="G18" s="4">
        <v>47.4</v>
      </c>
      <c r="H18" s="4">
        <v>1.5</v>
      </c>
      <c r="I18" s="4">
        <v>0.1</v>
      </c>
      <c r="J18" s="40">
        <v>10</v>
      </c>
    </row>
    <row r="19" spans="1:10" s="1" customFormat="1" ht="12.15" customHeight="1" x14ac:dyDescent="0.25">
      <c r="A19" s="164"/>
      <c r="B19" s="32" t="s">
        <v>145</v>
      </c>
      <c r="C19" s="22"/>
      <c r="D19" s="15" t="s">
        <v>17</v>
      </c>
      <c r="E19" s="3">
        <v>20</v>
      </c>
      <c r="F19" s="7">
        <v>2.5</v>
      </c>
      <c r="G19" s="4">
        <v>40.799999999999997</v>
      </c>
      <c r="H19" s="4">
        <v>1.3</v>
      </c>
      <c r="I19" s="4">
        <v>0.2</v>
      </c>
      <c r="J19" s="40">
        <v>8.5</v>
      </c>
    </row>
    <row r="20" spans="1:10" s="18" customFormat="1" ht="21.6" customHeight="1" thickBot="1" x14ac:dyDescent="0.3">
      <c r="A20" s="165"/>
      <c r="B20" s="77"/>
      <c r="C20" s="78"/>
      <c r="D20" s="73" t="s">
        <v>18</v>
      </c>
      <c r="E20" s="68">
        <v>750</v>
      </c>
      <c r="F20" s="46">
        <f>SUM(F12:F19)</f>
        <v>91.61999999999999</v>
      </c>
      <c r="G20" s="79">
        <f>SUM(G12:G19)</f>
        <v>770.83999999999992</v>
      </c>
      <c r="H20" s="79">
        <f>SUM(H12:H19)</f>
        <v>28.779600000000002</v>
      </c>
      <c r="I20" s="79">
        <f>SUM(I12:I19)</f>
        <v>31.748200000000001</v>
      </c>
      <c r="J20" s="80">
        <f>SUM(J12:J19)</f>
        <v>106.56128571428572</v>
      </c>
    </row>
  </sheetData>
  <mergeCells count="11">
    <mergeCell ref="H2:J2"/>
    <mergeCell ref="A12:A20"/>
    <mergeCell ref="A4:A11"/>
    <mergeCell ref="A2:A3"/>
    <mergeCell ref="B2:B3"/>
    <mergeCell ref="B1:D1"/>
    <mergeCell ref="G2:G3"/>
    <mergeCell ref="C2:C3"/>
    <mergeCell ref="D2:D3"/>
    <mergeCell ref="E2:E3"/>
    <mergeCell ref="F2:F3"/>
  </mergeCells>
  <pageMargins left="0" right="0" top="0" bottom="0.74803149606299213" header="0.31496062992125984" footer="0.31496062992125984"/>
  <pageSetup paperSize="9" scale="83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F23" sqref="F23"/>
    </sheetView>
  </sheetViews>
  <sheetFormatPr defaultRowHeight="14.4" x14ac:dyDescent="0.3"/>
  <cols>
    <col min="1" max="1" width="5.77734375" style="28" customWidth="1"/>
    <col min="2" max="2" width="22" style="76" customWidth="1"/>
    <col min="3" max="3" width="7.33203125" customWidth="1"/>
    <col min="4" max="4" width="54.6640625" customWidth="1"/>
    <col min="6" max="10" width="8.88671875" style="126"/>
  </cols>
  <sheetData>
    <row r="1" spans="1:10" x14ac:dyDescent="0.3">
      <c r="A1" t="s">
        <v>159</v>
      </c>
      <c r="B1" s="144" t="s">
        <v>160</v>
      </c>
      <c r="C1" s="145"/>
      <c r="D1" s="146"/>
      <c r="E1" t="s">
        <v>161</v>
      </c>
      <c r="G1" s="127"/>
      <c r="I1" s="126" t="s">
        <v>162</v>
      </c>
      <c r="J1" s="127"/>
    </row>
    <row r="2" spans="1:10" s="88" customFormat="1" ht="13.35" customHeight="1" x14ac:dyDescent="0.2">
      <c r="A2" s="169" t="s">
        <v>150</v>
      </c>
      <c r="B2" s="171" t="s">
        <v>155</v>
      </c>
      <c r="C2" s="175" t="s">
        <v>0</v>
      </c>
      <c r="D2" s="176" t="s">
        <v>1</v>
      </c>
      <c r="E2" s="178" t="s">
        <v>2</v>
      </c>
      <c r="F2" s="160" t="s">
        <v>4</v>
      </c>
      <c r="G2" s="173" t="s">
        <v>3</v>
      </c>
      <c r="H2" s="173" t="s">
        <v>5</v>
      </c>
      <c r="I2" s="173"/>
      <c r="J2" s="173"/>
    </row>
    <row r="3" spans="1:10" s="88" customFormat="1" ht="26.55" customHeight="1" thickBot="1" x14ac:dyDescent="0.25">
      <c r="A3" s="181"/>
      <c r="B3" s="182"/>
      <c r="C3" s="175"/>
      <c r="D3" s="177"/>
      <c r="E3" s="179"/>
      <c r="F3" s="180"/>
      <c r="G3" s="174"/>
      <c r="H3" s="142" t="s">
        <v>6</v>
      </c>
      <c r="I3" s="142" t="s">
        <v>7</v>
      </c>
      <c r="J3" s="142" t="s">
        <v>8</v>
      </c>
    </row>
    <row r="4" spans="1:10" s="1" customFormat="1" ht="12.15" customHeight="1" x14ac:dyDescent="0.25">
      <c r="A4" s="166" t="s">
        <v>151</v>
      </c>
      <c r="B4" s="87" t="s">
        <v>141</v>
      </c>
      <c r="C4" s="33" t="s">
        <v>48</v>
      </c>
      <c r="D4" s="55" t="s">
        <v>49</v>
      </c>
      <c r="E4" s="64">
        <v>60</v>
      </c>
      <c r="F4" s="38">
        <v>8</v>
      </c>
      <c r="G4" s="37">
        <f>10*60/100</f>
        <v>6</v>
      </c>
      <c r="H4" s="37">
        <f>0.56*60/100</f>
        <v>0.33600000000000002</v>
      </c>
      <c r="I4" s="37">
        <f>0.05*2</f>
        <v>0.1</v>
      </c>
      <c r="J4" s="39">
        <f>1.75*60/100</f>
        <v>1.05</v>
      </c>
    </row>
    <row r="5" spans="1:10" s="1" customFormat="1" ht="12.15" customHeight="1" x14ac:dyDescent="0.25">
      <c r="A5" s="167"/>
      <c r="B5" s="32" t="s">
        <v>142</v>
      </c>
      <c r="C5" s="22">
        <v>276</v>
      </c>
      <c r="D5" s="23" t="s">
        <v>50</v>
      </c>
      <c r="E5" s="30">
        <v>150</v>
      </c>
      <c r="F5" s="7">
        <f>39.73+0.248</f>
        <v>39.977999999999994</v>
      </c>
      <c r="G5" s="4">
        <f>200*150/117</f>
        <v>256.41025641025641</v>
      </c>
      <c r="H5" s="4">
        <f>12.26*150/117</f>
        <v>15.717948717948717</v>
      </c>
      <c r="I5" s="4">
        <f>7.78*150/117</f>
        <v>9.9743589743589745</v>
      </c>
      <c r="J5" s="40">
        <f>20.13*150/117</f>
        <v>25.807692307692307</v>
      </c>
    </row>
    <row r="6" spans="1:10" s="1" customFormat="1" ht="12.15" customHeight="1" x14ac:dyDescent="0.25">
      <c r="A6" s="167"/>
      <c r="B6" s="32" t="s">
        <v>158</v>
      </c>
      <c r="C6" s="22" t="s">
        <v>51</v>
      </c>
      <c r="D6" s="23" t="s">
        <v>52</v>
      </c>
      <c r="E6" s="30">
        <v>80</v>
      </c>
      <c r="F6" s="7">
        <v>11</v>
      </c>
      <c r="G6" s="4">
        <v>186.69</v>
      </c>
      <c r="H6" s="4">
        <v>3.1</v>
      </c>
      <c r="I6" s="4">
        <v>4.9000000000000004</v>
      </c>
      <c r="J6" s="40">
        <v>31.79</v>
      </c>
    </row>
    <row r="7" spans="1:10" s="1" customFormat="1" ht="12.15" customHeight="1" x14ac:dyDescent="0.25">
      <c r="A7" s="167"/>
      <c r="B7" s="32" t="s">
        <v>149</v>
      </c>
      <c r="C7" s="22" t="s">
        <v>26</v>
      </c>
      <c r="D7" s="23" t="s">
        <v>53</v>
      </c>
      <c r="E7" s="30">
        <v>200</v>
      </c>
      <c r="F7" s="7">
        <v>8</v>
      </c>
      <c r="G7" s="4">
        <v>83.4</v>
      </c>
      <c r="H7" s="4">
        <f>5*0.2</f>
        <v>1</v>
      </c>
      <c r="I7" s="4">
        <v>0.2</v>
      </c>
      <c r="J7" s="40">
        <v>19.600000000000001</v>
      </c>
    </row>
    <row r="8" spans="1:10" s="1" customFormat="1" ht="12.15" customHeight="1" x14ac:dyDescent="0.25">
      <c r="A8" s="167"/>
      <c r="B8" s="32" t="s">
        <v>145</v>
      </c>
      <c r="C8" s="22"/>
      <c r="D8" s="23" t="s">
        <v>16</v>
      </c>
      <c r="E8" s="30">
        <v>20</v>
      </c>
      <c r="F8" s="7">
        <v>1.5</v>
      </c>
      <c r="G8" s="4">
        <v>47.4</v>
      </c>
      <c r="H8" s="4">
        <v>1.5</v>
      </c>
      <c r="I8" s="4">
        <v>0.1</v>
      </c>
      <c r="J8" s="40">
        <v>10</v>
      </c>
    </row>
    <row r="9" spans="1:10" s="1" customFormat="1" ht="12.15" customHeight="1" x14ac:dyDescent="0.25">
      <c r="A9" s="167"/>
      <c r="B9" s="32" t="s">
        <v>145</v>
      </c>
      <c r="C9" s="22"/>
      <c r="D9" s="23" t="s">
        <v>17</v>
      </c>
      <c r="E9" s="30">
        <v>20</v>
      </c>
      <c r="F9" s="7">
        <v>2.5</v>
      </c>
      <c r="G9" s="4">
        <v>40.799999999999997</v>
      </c>
      <c r="H9" s="4">
        <v>1.3</v>
      </c>
      <c r="I9" s="4">
        <v>0.2</v>
      </c>
      <c r="J9" s="40">
        <v>8.5</v>
      </c>
    </row>
    <row r="10" spans="1:10" s="1" customFormat="1" ht="12.15" customHeight="1" thickBot="1" x14ac:dyDescent="0.3">
      <c r="A10" s="168"/>
      <c r="B10" s="41"/>
      <c r="C10" s="42"/>
      <c r="D10" s="61" t="s">
        <v>18</v>
      </c>
      <c r="E10" s="74">
        <v>530</v>
      </c>
      <c r="F10" s="46">
        <f>SUM(F4:F9)</f>
        <v>70.977999999999994</v>
      </c>
      <c r="G10" s="45">
        <f>SUM(G4:G9)</f>
        <v>620.70025641025632</v>
      </c>
      <c r="H10" s="45">
        <f>SUM(H4:H9)</f>
        <v>22.95394871794872</v>
      </c>
      <c r="I10" s="45">
        <f>SUM(I4:I9)</f>
        <v>15.474358974358973</v>
      </c>
      <c r="J10" s="47">
        <f>SUM(J4:J9)</f>
        <v>96.747692307692319</v>
      </c>
    </row>
    <row r="11" spans="1:10" s="1" customFormat="1" ht="12.15" customHeight="1" x14ac:dyDescent="0.25">
      <c r="A11" s="151" t="s">
        <v>140</v>
      </c>
      <c r="B11" s="75" t="s">
        <v>141</v>
      </c>
      <c r="C11" s="34" t="s">
        <v>54</v>
      </c>
      <c r="D11" s="55" t="s">
        <v>55</v>
      </c>
      <c r="E11" s="64">
        <v>60</v>
      </c>
      <c r="F11" s="38">
        <v>8.09</v>
      </c>
      <c r="G11" s="37">
        <f>604*0.06</f>
        <v>36.24</v>
      </c>
      <c r="H11" s="37">
        <f>13.12*0.06</f>
        <v>0.7871999999999999</v>
      </c>
      <c r="I11" s="37">
        <f>32.49*0.06</f>
        <v>1.9494</v>
      </c>
      <c r="J11" s="39">
        <f>64.56*0.06</f>
        <v>3.8736000000000002</v>
      </c>
    </row>
    <row r="12" spans="1:10" s="1" customFormat="1" ht="12.15" customHeight="1" x14ac:dyDescent="0.25">
      <c r="A12" s="164"/>
      <c r="B12" s="32" t="s">
        <v>146</v>
      </c>
      <c r="C12" s="22" t="s">
        <v>56</v>
      </c>
      <c r="D12" s="23" t="s">
        <v>57</v>
      </c>
      <c r="E12" s="30">
        <v>200</v>
      </c>
      <c r="F12" s="7">
        <v>12.28</v>
      </c>
      <c r="G12" s="4">
        <f>460*0.2</f>
        <v>92</v>
      </c>
      <c r="H12" s="4">
        <f>22.39*0.2</f>
        <v>4.4780000000000006</v>
      </c>
      <c r="I12" s="4">
        <f>19.2*0.2</f>
        <v>3.84</v>
      </c>
      <c r="J12" s="40">
        <f>40.7*0.2</f>
        <v>8.14</v>
      </c>
    </row>
    <row r="13" spans="1:10" s="1" customFormat="1" ht="12.15" customHeight="1" x14ac:dyDescent="0.25">
      <c r="A13" s="164"/>
      <c r="B13" s="32" t="s">
        <v>157</v>
      </c>
      <c r="C13" s="22" t="s">
        <v>58</v>
      </c>
      <c r="D13" s="23" t="s">
        <v>59</v>
      </c>
      <c r="E13" s="30">
        <v>150</v>
      </c>
      <c r="F13" s="7">
        <v>50.22</v>
      </c>
      <c r="G13" s="4">
        <f>295*150/175</f>
        <v>252.85714285714286</v>
      </c>
      <c r="H13" s="4">
        <f>16.2*150/175</f>
        <v>13.885714285714286</v>
      </c>
      <c r="I13" s="4">
        <f>18.09*150/175</f>
        <v>15.505714285714285</v>
      </c>
      <c r="J13" s="40">
        <f>16.58*150/175</f>
        <v>14.211428571428568</v>
      </c>
    </row>
    <row r="14" spans="1:10" s="1" customFormat="1" ht="12.15" customHeight="1" x14ac:dyDescent="0.25">
      <c r="A14" s="164"/>
      <c r="B14" s="32" t="s">
        <v>152</v>
      </c>
      <c r="C14" s="22" t="s">
        <v>29</v>
      </c>
      <c r="D14" s="23" t="s">
        <v>60</v>
      </c>
      <c r="E14" s="30">
        <v>180</v>
      </c>
      <c r="F14" s="7">
        <v>8</v>
      </c>
      <c r="G14" s="4">
        <f>100*180/200</f>
        <v>90</v>
      </c>
      <c r="H14" s="4">
        <f>5.8*180/200</f>
        <v>5.22</v>
      </c>
      <c r="I14" s="4">
        <f>5*180/200</f>
        <v>4.5</v>
      </c>
      <c r="J14" s="40">
        <f>8*180/200</f>
        <v>7.2</v>
      </c>
    </row>
    <row r="15" spans="1:10" s="1" customFormat="1" ht="12.15" customHeight="1" x14ac:dyDescent="0.25">
      <c r="A15" s="164"/>
      <c r="B15" s="32" t="s">
        <v>144</v>
      </c>
      <c r="C15" s="22" t="s">
        <v>14</v>
      </c>
      <c r="D15" s="23" t="s">
        <v>61</v>
      </c>
      <c r="E15" s="31">
        <v>100</v>
      </c>
      <c r="F15" s="10">
        <v>8</v>
      </c>
      <c r="G15" s="9">
        <v>56.4</v>
      </c>
      <c r="H15" s="9">
        <v>0.5</v>
      </c>
      <c r="I15" s="9">
        <v>0.5</v>
      </c>
      <c r="J15" s="40">
        <v>11.8</v>
      </c>
    </row>
    <row r="16" spans="1:10" s="1" customFormat="1" ht="12.15" customHeight="1" x14ac:dyDescent="0.25">
      <c r="A16" s="164"/>
      <c r="B16" s="32" t="s">
        <v>153</v>
      </c>
      <c r="C16" s="22"/>
      <c r="D16" s="23" t="s">
        <v>62</v>
      </c>
      <c r="E16" s="30">
        <v>15</v>
      </c>
      <c r="F16" s="7">
        <v>4</v>
      </c>
      <c r="G16" s="4">
        <f>123.4*15/40</f>
        <v>46.274999999999999</v>
      </c>
      <c r="H16" s="4">
        <f>3*15/40</f>
        <v>1.125</v>
      </c>
      <c r="I16" s="4">
        <f>3.8*15/40</f>
        <v>1.425</v>
      </c>
      <c r="J16" s="40">
        <f>23*15/40</f>
        <v>8.625</v>
      </c>
    </row>
    <row r="17" spans="1:10" s="1" customFormat="1" ht="12.15" customHeight="1" x14ac:dyDescent="0.25">
      <c r="A17" s="164"/>
      <c r="B17" s="32" t="s">
        <v>145</v>
      </c>
      <c r="C17" s="22"/>
      <c r="D17" s="23" t="s">
        <v>16</v>
      </c>
      <c r="E17" s="30">
        <v>60</v>
      </c>
      <c r="F17" s="7">
        <v>5</v>
      </c>
      <c r="G17" s="4">
        <f>118.4+60/50</f>
        <v>119.60000000000001</v>
      </c>
      <c r="H17" s="4">
        <f>3.8*60/50</f>
        <v>4.5599999999999996</v>
      </c>
      <c r="I17" s="4">
        <f>0.3*60/50</f>
        <v>0.36</v>
      </c>
      <c r="J17" s="40">
        <f>25.1*60/50</f>
        <v>30.12</v>
      </c>
    </row>
    <row r="18" spans="1:10" s="1" customFormat="1" ht="21.6" customHeight="1" thickBot="1" x14ac:dyDescent="0.3">
      <c r="A18" s="165"/>
      <c r="B18" s="41"/>
      <c r="C18" s="42"/>
      <c r="D18" s="61" t="s">
        <v>18</v>
      </c>
      <c r="E18" s="74">
        <v>765</v>
      </c>
      <c r="F18" s="46">
        <f>SUM(F11:F17)</f>
        <v>95.59</v>
      </c>
      <c r="G18" s="45">
        <f>SUM(G12:G17)</f>
        <v>657.13214285714287</v>
      </c>
      <c r="H18" s="45">
        <f>SUM(H12:H17)</f>
        <v>29.768714285714285</v>
      </c>
      <c r="I18" s="45">
        <f>SUM(I12:I17)</f>
        <v>26.130714285714287</v>
      </c>
      <c r="J18" s="47">
        <f>SUM(J12:J17)</f>
        <v>80.096428571428575</v>
      </c>
    </row>
  </sheetData>
  <mergeCells count="11">
    <mergeCell ref="H2:J2"/>
    <mergeCell ref="A4:A10"/>
    <mergeCell ref="A11:A18"/>
    <mergeCell ref="A2:A3"/>
    <mergeCell ref="B2:B3"/>
    <mergeCell ref="B1:D1"/>
    <mergeCell ref="G2:G3"/>
    <mergeCell ref="C2:C3"/>
    <mergeCell ref="D2:D3"/>
    <mergeCell ref="E2:E3"/>
    <mergeCell ref="F2:F3"/>
  </mergeCells>
  <pageMargins left="0.7" right="0.7" top="0.75" bottom="0.75" header="0.3" footer="0.3"/>
  <pageSetup paperSize="9" scale="70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4" sqref="B4"/>
    </sheetView>
  </sheetViews>
  <sheetFormatPr defaultRowHeight="14.4" x14ac:dyDescent="0.3"/>
  <cols>
    <col min="1" max="1" width="6.5546875" style="19" customWidth="1"/>
    <col min="2" max="2" width="18.88671875" customWidth="1"/>
    <col min="3" max="3" width="6.88671875" customWidth="1"/>
    <col min="4" max="4" width="55.6640625" customWidth="1"/>
    <col min="6" max="6" width="8.88671875" style="126"/>
    <col min="7" max="10" width="8.88671875" style="129"/>
  </cols>
  <sheetData>
    <row r="1" spans="1:10" x14ac:dyDescent="0.3">
      <c r="A1" t="s">
        <v>159</v>
      </c>
      <c r="B1" s="144" t="s">
        <v>160</v>
      </c>
      <c r="C1" s="145"/>
      <c r="D1" s="146"/>
      <c r="E1" t="s">
        <v>161</v>
      </c>
      <c r="G1" s="127"/>
      <c r="H1" s="126"/>
      <c r="I1" s="126" t="s">
        <v>162</v>
      </c>
      <c r="J1" s="127"/>
    </row>
    <row r="2" spans="1:10" s="89" customFormat="1" ht="13.35" customHeight="1" x14ac:dyDescent="0.2">
      <c r="A2" s="186" t="s">
        <v>150</v>
      </c>
      <c r="B2" s="171" t="s">
        <v>155</v>
      </c>
      <c r="C2" s="161" t="s">
        <v>0</v>
      </c>
      <c r="D2" s="143" t="s">
        <v>1</v>
      </c>
      <c r="E2" s="143" t="s">
        <v>2</v>
      </c>
      <c r="F2" s="160" t="s">
        <v>4</v>
      </c>
      <c r="G2" s="159" t="s">
        <v>3</v>
      </c>
      <c r="H2" s="159" t="s">
        <v>5</v>
      </c>
      <c r="I2" s="159"/>
      <c r="J2" s="159"/>
    </row>
    <row r="3" spans="1:10" s="89" customFormat="1" ht="26.55" customHeight="1" thickBot="1" x14ac:dyDescent="0.25">
      <c r="A3" s="172"/>
      <c r="B3" s="172"/>
      <c r="C3" s="162"/>
      <c r="D3" s="147"/>
      <c r="E3" s="147"/>
      <c r="F3" s="163"/>
      <c r="G3" s="160"/>
      <c r="H3" s="128" t="s">
        <v>6</v>
      </c>
      <c r="I3" s="128" t="s">
        <v>7</v>
      </c>
      <c r="J3" s="128" t="s">
        <v>8</v>
      </c>
    </row>
    <row r="4" spans="1:10" s="1" customFormat="1" ht="12.15" customHeight="1" x14ac:dyDescent="0.25">
      <c r="A4" s="183" t="s">
        <v>139</v>
      </c>
      <c r="B4" s="49" t="s">
        <v>141</v>
      </c>
      <c r="C4" s="64" t="s">
        <v>63</v>
      </c>
      <c r="D4" s="50" t="s">
        <v>64</v>
      </c>
      <c r="E4" s="48">
        <v>60</v>
      </c>
      <c r="F4" s="38">
        <v>7.61</v>
      </c>
      <c r="G4" s="51">
        <f>857*0.06</f>
        <v>51.419999999999995</v>
      </c>
      <c r="H4" s="51">
        <f>17.07*0.06</f>
        <v>1.0242</v>
      </c>
      <c r="I4" s="51">
        <f>50.04*0.06</f>
        <v>3.0023999999999997</v>
      </c>
      <c r="J4" s="52">
        <f>84.58*0.06</f>
        <v>5.0747999999999998</v>
      </c>
    </row>
    <row r="5" spans="1:10" s="1" customFormat="1" ht="12.15" customHeight="1" x14ac:dyDescent="0.25">
      <c r="A5" s="184"/>
      <c r="B5" s="14" t="s">
        <v>142</v>
      </c>
      <c r="C5" s="13" t="s">
        <v>65</v>
      </c>
      <c r="D5" s="11" t="s">
        <v>66</v>
      </c>
      <c r="E5" s="3">
        <v>150</v>
      </c>
      <c r="F5" s="7">
        <v>41.49</v>
      </c>
      <c r="G5" s="5">
        <f>208*150/175</f>
        <v>178.28571428571428</v>
      </c>
      <c r="H5" s="5">
        <f>12.81*150/175</f>
        <v>10.98</v>
      </c>
      <c r="I5" s="5">
        <f>10.65*150/175</f>
        <v>9.1285714285714281</v>
      </c>
      <c r="J5" s="53">
        <f>15.2*150/175</f>
        <v>13.028571428571428</v>
      </c>
    </row>
    <row r="6" spans="1:10" s="1" customFormat="1" ht="12.15" customHeight="1" x14ac:dyDescent="0.25">
      <c r="A6" s="184"/>
      <c r="B6" s="14" t="s">
        <v>143</v>
      </c>
      <c r="C6" s="13" t="s">
        <v>12</v>
      </c>
      <c r="D6" s="11" t="s">
        <v>13</v>
      </c>
      <c r="E6" s="2">
        <v>200</v>
      </c>
      <c r="F6" s="7">
        <v>6</v>
      </c>
      <c r="G6" s="5">
        <v>81</v>
      </c>
      <c r="H6" s="5">
        <v>1.52</v>
      </c>
      <c r="I6" s="5">
        <v>1.35</v>
      </c>
      <c r="J6" s="53">
        <v>15.9</v>
      </c>
    </row>
    <row r="7" spans="1:10" s="1" customFormat="1" ht="12.15" customHeight="1" x14ac:dyDescent="0.25">
      <c r="A7" s="184"/>
      <c r="B7" s="14" t="s">
        <v>144</v>
      </c>
      <c r="C7" s="13" t="s">
        <v>14</v>
      </c>
      <c r="D7" s="11" t="s">
        <v>15</v>
      </c>
      <c r="E7" s="3">
        <v>100</v>
      </c>
      <c r="F7" s="7">
        <v>6</v>
      </c>
      <c r="G7" s="5">
        <v>56.4</v>
      </c>
      <c r="H7" s="5">
        <v>0.5</v>
      </c>
      <c r="I7" s="5">
        <v>0.5</v>
      </c>
      <c r="J7" s="53">
        <v>11.8</v>
      </c>
    </row>
    <row r="8" spans="1:10" s="1" customFormat="1" ht="12.15" customHeight="1" x14ac:dyDescent="0.25">
      <c r="A8" s="184"/>
      <c r="B8" s="14" t="s">
        <v>145</v>
      </c>
      <c r="C8" s="13"/>
      <c r="D8" s="11" t="s">
        <v>16</v>
      </c>
      <c r="E8" s="3">
        <v>40</v>
      </c>
      <c r="F8" s="7">
        <v>3</v>
      </c>
      <c r="G8" s="5">
        <v>94.7</v>
      </c>
      <c r="H8" s="5">
        <v>3.1</v>
      </c>
      <c r="I8" s="5">
        <v>0.2</v>
      </c>
      <c r="J8" s="53">
        <v>20.100000000000001</v>
      </c>
    </row>
    <row r="9" spans="1:10" s="1" customFormat="1" ht="12.15" customHeight="1" x14ac:dyDescent="0.25">
      <c r="A9" s="184"/>
      <c r="B9" s="14" t="s">
        <v>145</v>
      </c>
      <c r="C9" s="13"/>
      <c r="D9" s="11" t="s">
        <v>17</v>
      </c>
      <c r="E9" s="3">
        <v>20</v>
      </c>
      <c r="F9" s="7">
        <v>2.5</v>
      </c>
      <c r="G9" s="5">
        <v>40.799999999999997</v>
      </c>
      <c r="H9" s="5">
        <v>1.3</v>
      </c>
      <c r="I9" s="5">
        <v>0.2</v>
      </c>
      <c r="J9" s="53">
        <v>8.5</v>
      </c>
    </row>
    <row r="10" spans="1:10" s="18" customFormat="1" ht="21.6" customHeight="1" thickBot="1" x14ac:dyDescent="0.3">
      <c r="A10" s="185"/>
      <c r="B10" s="65"/>
      <c r="C10" s="66"/>
      <c r="D10" s="67" t="s">
        <v>18</v>
      </c>
      <c r="E10" s="68">
        <v>575</v>
      </c>
      <c r="F10" s="46">
        <f>SUM(F4:F9)</f>
        <v>66.599999999999994</v>
      </c>
      <c r="G10" s="69">
        <f>SUM(G4:G9)</f>
        <v>502.60571428571427</v>
      </c>
      <c r="H10" s="69">
        <f>SUM(H4:H9)</f>
        <v>18.424200000000003</v>
      </c>
      <c r="I10" s="69">
        <f>SUM(I4:I9)</f>
        <v>14.380971428571426</v>
      </c>
      <c r="J10" s="71">
        <f>SUM(J4:J9)</f>
        <v>74.403371428571432</v>
      </c>
    </row>
    <row r="11" spans="1:10" s="1" customFormat="1" ht="12.15" customHeight="1" x14ac:dyDescent="0.25">
      <c r="A11" s="183" t="s">
        <v>140</v>
      </c>
      <c r="B11" s="49" t="s">
        <v>141</v>
      </c>
      <c r="C11" s="64">
        <v>75</v>
      </c>
      <c r="D11" s="50" t="s">
        <v>67</v>
      </c>
      <c r="E11" s="48">
        <v>60</v>
      </c>
      <c r="F11" s="38">
        <v>10</v>
      </c>
      <c r="G11" s="51">
        <f>1863*0.06</f>
        <v>111.78</v>
      </c>
      <c r="H11" s="51">
        <f>23.7*0.06</f>
        <v>1.4219999999999999</v>
      </c>
      <c r="I11" s="51">
        <f>1.02*0.06</f>
        <v>6.1199999999999997E-2</v>
      </c>
      <c r="J11" s="52">
        <f>228.71*0.06</f>
        <v>13.7226</v>
      </c>
    </row>
    <row r="12" spans="1:10" s="1" customFormat="1" ht="12.15" customHeight="1" x14ac:dyDescent="0.25">
      <c r="A12" s="184"/>
      <c r="B12" s="14" t="s">
        <v>146</v>
      </c>
      <c r="C12" s="13" t="s">
        <v>68</v>
      </c>
      <c r="D12" s="11" t="s">
        <v>69</v>
      </c>
      <c r="E12" s="3">
        <v>200</v>
      </c>
      <c r="F12" s="7">
        <v>12.25</v>
      </c>
      <c r="G12" s="5">
        <f>429*0.2</f>
        <v>85.800000000000011</v>
      </c>
      <c r="H12" s="5">
        <f>8.07*0.2</f>
        <v>1.6140000000000001</v>
      </c>
      <c r="I12" s="5">
        <f>20.36*0.2</f>
        <v>4.0720000000000001</v>
      </c>
      <c r="J12" s="53">
        <f>47.92*0.2</f>
        <v>9.5840000000000014</v>
      </c>
    </row>
    <row r="13" spans="1:10" s="1" customFormat="1" ht="12.15" customHeight="1" x14ac:dyDescent="0.25">
      <c r="A13" s="184"/>
      <c r="B13" s="14" t="s">
        <v>147</v>
      </c>
      <c r="C13" s="13" t="s">
        <v>70</v>
      </c>
      <c r="D13" s="11" t="s">
        <v>71</v>
      </c>
      <c r="E13" s="3">
        <v>150</v>
      </c>
      <c r="F13" s="7">
        <v>11.09</v>
      </c>
      <c r="G13" s="5">
        <f>1475*0.15</f>
        <v>221.25</v>
      </c>
      <c r="H13" s="5">
        <f>42.1*0.15</f>
        <v>6.3150000000000004</v>
      </c>
      <c r="I13" s="5">
        <f>30.03*0.15</f>
        <v>4.5045000000000002</v>
      </c>
      <c r="J13" s="53">
        <f>259.01*0.15</f>
        <v>38.851499999999994</v>
      </c>
    </row>
    <row r="14" spans="1:10" s="1" customFormat="1" ht="12.15" customHeight="1" x14ac:dyDescent="0.25">
      <c r="A14" s="184"/>
      <c r="B14" s="14" t="s">
        <v>148</v>
      </c>
      <c r="C14" s="13" t="s">
        <v>24</v>
      </c>
      <c r="D14" s="11" t="s">
        <v>72</v>
      </c>
      <c r="E14" s="3">
        <v>125</v>
      </c>
      <c r="F14" s="7">
        <v>42.3</v>
      </c>
      <c r="G14" s="5">
        <f>116*125/80</f>
        <v>181.25</v>
      </c>
      <c r="H14" s="5">
        <f>6.88*125/80</f>
        <v>10.75</v>
      </c>
      <c r="I14" s="5">
        <f>5.6*125/80</f>
        <v>8.75</v>
      </c>
      <c r="J14" s="53">
        <f>9.61*125/80</f>
        <v>15.015625</v>
      </c>
    </row>
    <row r="15" spans="1:10" s="1" customFormat="1" ht="12.15" customHeight="1" x14ac:dyDescent="0.25">
      <c r="A15" s="184"/>
      <c r="B15" s="14" t="s">
        <v>149</v>
      </c>
      <c r="C15" s="13" t="s">
        <v>26</v>
      </c>
      <c r="D15" s="11" t="s">
        <v>27</v>
      </c>
      <c r="E15" s="3">
        <v>200</v>
      </c>
      <c r="F15" s="7">
        <v>8</v>
      </c>
      <c r="G15" s="5">
        <v>83.4</v>
      </c>
      <c r="H15" s="5">
        <f>5*0.2</f>
        <v>1</v>
      </c>
      <c r="I15" s="5">
        <v>0.2</v>
      </c>
      <c r="J15" s="53">
        <v>19.600000000000001</v>
      </c>
    </row>
    <row r="16" spans="1:10" s="1" customFormat="1" ht="12.15" customHeight="1" x14ac:dyDescent="0.25">
      <c r="A16" s="184"/>
      <c r="B16" s="14" t="s">
        <v>145</v>
      </c>
      <c r="C16" s="13"/>
      <c r="D16" s="11" t="s">
        <v>16</v>
      </c>
      <c r="E16" s="3">
        <v>50</v>
      </c>
      <c r="F16" s="7">
        <f>1.5*50/20</f>
        <v>3.75</v>
      </c>
      <c r="G16" s="5">
        <v>118.4</v>
      </c>
      <c r="H16" s="5">
        <v>3.8</v>
      </c>
      <c r="I16" s="5">
        <v>0.3</v>
      </c>
      <c r="J16" s="53">
        <v>25.1</v>
      </c>
    </row>
    <row r="17" spans="1:10" s="1" customFormat="1" ht="12.15" customHeight="1" x14ac:dyDescent="0.25">
      <c r="A17" s="184"/>
      <c r="B17" s="14" t="s">
        <v>145</v>
      </c>
      <c r="C17" s="16"/>
      <c r="D17" s="11" t="s">
        <v>17</v>
      </c>
      <c r="E17" s="3">
        <v>30</v>
      </c>
      <c r="F17" s="7">
        <f>2.5*30/20</f>
        <v>3.75</v>
      </c>
      <c r="G17" s="5">
        <v>61.2</v>
      </c>
      <c r="H17" s="5">
        <v>2</v>
      </c>
      <c r="I17" s="5">
        <v>0.3</v>
      </c>
      <c r="J17" s="53">
        <v>12.7</v>
      </c>
    </row>
    <row r="18" spans="1:10" s="18" customFormat="1" ht="21.6" customHeight="1" thickBot="1" x14ac:dyDescent="0.3">
      <c r="A18" s="185"/>
      <c r="B18" s="65"/>
      <c r="C18" s="72"/>
      <c r="D18" s="73" t="s">
        <v>18</v>
      </c>
      <c r="E18" s="68">
        <v>815</v>
      </c>
      <c r="F18" s="46">
        <f>SUM(F11:F17)</f>
        <v>91.14</v>
      </c>
      <c r="G18" s="69">
        <f>SUM(G11:G17)</f>
        <v>863.08</v>
      </c>
      <c r="H18" s="69">
        <f>SUM(H11:H17)</f>
        <v>26.901</v>
      </c>
      <c r="I18" s="69">
        <f>SUM(I11:I17)</f>
        <v>18.187700000000003</v>
      </c>
      <c r="J18" s="71">
        <f>SUM(J11:J17)</f>
        <v>134.57372499999997</v>
      </c>
    </row>
  </sheetData>
  <mergeCells count="11">
    <mergeCell ref="H2:J2"/>
    <mergeCell ref="G2:G3"/>
    <mergeCell ref="C2:C3"/>
    <mergeCell ref="D2:D3"/>
    <mergeCell ref="E2:E3"/>
    <mergeCell ref="F2:F3"/>
    <mergeCell ref="B1:D1"/>
    <mergeCell ref="A4:A10"/>
    <mergeCell ref="A11:A18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F13" sqref="F13"/>
    </sheetView>
  </sheetViews>
  <sheetFormatPr defaultRowHeight="14.4" x14ac:dyDescent="0.3"/>
  <cols>
    <col min="2" max="2" width="19.88671875" customWidth="1"/>
    <col min="4" max="4" width="47.21875" customWidth="1"/>
    <col min="6" max="10" width="8.88671875" style="129"/>
  </cols>
  <sheetData>
    <row r="1" spans="1:10" x14ac:dyDescent="0.3">
      <c r="A1" t="s">
        <v>159</v>
      </c>
      <c r="B1" s="144" t="s">
        <v>160</v>
      </c>
      <c r="C1" s="145"/>
      <c r="D1" s="146"/>
      <c r="E1" t="s">
        <v>161</v>
      </c>
      <c r="G1" s="130"/>
      <c r="I1" s="129" t="s">
        <v>162</v>
      </c>
      <c r="J1" s="130"/>
    </row>
    <row r="2" spans="1:10" s="89" customFormat="1" ht="13.35" customHeight="1" x14ac:dyDescent="0.2">
      <c r="A2" s="186" t="s">
        <v>150</v>
      </c>
      <c r="B2" s="171" t="s">
        <v>155</v>
      </c>
      <c r="C2" s="161" t="s">
        <v>0</v>
      </c>
      <c r="D2" s="143" t="s">
        <v>1</v>
      </c>
      <c r="E2" s="143" t="s">
        <v>2</v>
      </c>
      <c r="F2" s="160" t="s">
        <v>4</v>
      </c>
      <c r="G2" s="159" t="s">
        <v>3</v>
      </c>
      <c r="H2" s="159" t="s">
        <v>5</v>
      </c>
      <c r="I2" s="159"/>
      <c r="J2" s="159"/>
    </row>
    <row r="3" spans="1:10" s="89" customFormat="1" ht="26.55" customHeight="1" thickBot="1" x14ac:dyDescent="0.25">
      <c r="A3" s="191"/>
      <c r="B3" s="191"/>
      <c r="C3" s="162"/>
      <c r="D3" s="147"/>
      <c r="E3" s="147"/>
      <c r="F3" s="163"/>
      <c r="G3" s="160"/>
      <c r="H3" s="128" t="s">
        <v>6</v>
      </c>
      <c r="I3" s="128" t="s">
        <v>7</v>
      </c>
      <c r="J3" s="128" t="s">
        <v>8</v>
      </c>
    </row>
    <row r="4" spans="1:10" s="1" customFormat="1" ht="12.15" customHeight="1" x14ac:dyDescent="0.25">
      <c r="A4" s="187" t="s">
        <v>139</v>
      </c>
      <c r="B4" s="49" t="s">
        <v>141</v>
      </c>
      <c r="C4" s="34" t="s">
        <v>73</v>
      </c>
      <c r="D4" s="55" t="s">
        <v>74</v>
      </c>
      <c r="E4" s="102">
        <v>100</v>
      </c>
      <c r="F4" s="38">
        <v>12</v>
      </c>
      <c r="G4" s="51">
        <f>792*0.1</f>
        <v>79.2</v>
      </c>
      <c r="H4" s="51">
        <f>22.74*0.1</f>
        <v>2.274</v>
      </c>
      <c r="I4" s="51">
        <f>3.97*0.1</f>
        <v>0.39700000000000002</v>
      </c>
      <c r="J4" s="52">
        <f>166.44*0.1</f>
        <v>16.644000000000002</v>
      </c>
    </row>
    <row r="5" spans="1:10" s="1" customFormat="1" ht="12.15" customHeight="1" x14ac:dyDescent="0.25">
      <c r="A5" s="149"/>
      <c r="B5" s="14" t="s">
        <v>163</v>
      </c>
      <c r="C5" s="22">
        <v>210</v>
      </c>
      <c r="D5" s="23" t="s">
        <v>75</v>
      </c>
      <c r="E5" s="30">
        <v>150</v>
      </c>
      <c r="F5" s="7">
        <f>39.88+0.248</f>
        <v>40.128</v>
      </c>
      <c r="G5" s="5">
        <f>112*150/58</f>
        <v>289.65517241379308</v>
      </c>
      <c r="H5" s="5">
        <f>5.39*150/58</f>
        <v>13.939655172413794</v>
      </c>
      <c r="I5" s="5">
        <f>9.6*150/58</f>
        <v>24.827586206896552</v>
      </c>
      <c r="J5" s="53">
        <f>1.02*150/58</f>
        <v>2.6379310344827585</v>
      </c>
    </row>
    <row r="6" spans="1:10" s="1" customFormat="1" ht="12.15" customHeight="1" x14ac:dyDescent="0.25">
      <c r="A6" s="149"/>
      <c r="B6" s="14" t="s">
        <v>143</v>
      </c>
      <c r="C6" s="22" t="s">
        <v>76</v>
      </c>
      <c r="D6" s="23" t="s">
        <v>77</v>
      </c>
      <c r="E6" s="30">
        <v>200</v>
      </c>
      <c r="F6" s="7">
        <v>6</v>
      </c>
      <c r="G6" s="5">
        <f>596*0.2</f>
        <v>119.2</v>
      </c>
      <c r="H6" s="5">
        <f>0.54*0.2</f>
        <v>0.10800000000000001</v>
      </c>
      <c r="I6" s="5">
        <f>0</f>
        <v>0</v>
      </c>
      <c r="J6" s="53">
        <f>125.46*0.2</f>
        <v>25.091999999999999</v>
      </c>
    </row>
    <row r="7" spans="1:10" s="1" customFormat="1" ht="12.15" customHeight="1" x14ac:dyDescent="0.25">
      <c r="A7" s="149"/>
      <c r="B7" s="14" t="s">
        <v>145</v>
      </c>
      <c r="C7" s="22"/>
      <c r="D7" s="23" t="s">
        <v>16</v>
      </c>
      <c r="E7" s="30">
        <v>30</v>
      </c>
      <c r="F7" s="7">
        <f>3.8*30/50</f>
        <v>2.2799999999999998</v>
      </c>
      <c r="G7" s="5">
        <v>47.4</v>
      </c>
      <c r="H7" s="5">
        <v>1.5</v>
      </c>
      <c r="I7" s="5" t="s">
        <v>78</v>
      </c>
      <c r="J7" s="53">
        <v>10</v>
      </c>
    </row>
    <row r="8" spans="1:10" s="1" customFormat="1" ht="12.15" customHeight="1" x14ac:dyDescent="0.25">
      <c r="A8" s="149"/>
      <c r="B8" s="14" t="s">
        <v>145</v>
      </c>
      <c r="C8" s="22"/>
      <c r="D8" s="23" t="s">
        <v>17</v>
      </c>
      <c r="E8" s="30">
        <v>20</v>
      </c>
      <c r="F8" s="7">
        <v>2.5</v>
      </c>
      <c r="G8" s="5">
        <v>40.799999999999997</v>
      </c>
      <c r="H8" s="5">
        <v>1.3</v>
      </c>
      <c r="I8" s="5">
        <v>0.2</v>
      </c>
      <c r="J8" s="53">
        <v>8.5</v>
      </c>
    </row>
    <row r="9" spans="1:10" s="18" customFormat="1" ht="12.15" customHeight="1" thickBot="1" x14ac:dyDescent="0.3">
      <c r="A9" s="150"/>
      <c r="B9" s="116"/>
      <c r="C9" s="117"/>
      <c r="D9" s="118" t="s">
        <v>18</v>
      </c>
      <c r="E9" s="119">
        <v>500</v>
      </c>
      <c r="F9" s="120">
        <f>SUM(F4:F8)</f>
        <v>62.908000000000001</v>
      </c>
      <c r="G9" s="140">
        <f>SUM(G4:G8)</f>
        <v>576.25517241379305</v>
      </c>
      <c r="H9" s="140">
        <f>SUM(H4:H8)</f>
        <v>19.121655172413796</v>
      </c>
      <c r="I9" s="140">
        <f>SUM(I4:I8)</f>
        <v>25.424586206896549</v>
      </c>
      <c r="J9" s="141">
        <f>SUM(J4:J8)</f>
        <v>62.873931034482759</v>
      </c>
    </row>
    <row r="10" spans="1:10" s="1" customFormat="1" ht="12.15" customHeight="1" x14ac:dyDescent="0.25">
      <c r="A10" s="188" t="s">
        <v>140</v>
      </c>
      <c r="B10" s="121" t="s">
        <v>141</v>
      </c>
      <c r="C10" s="34" t="s">
        <v>81</v>
      </c>
      <c r="D10" s="55" t="s">
        <v>82</v>
      </c>
      <c r="E10" s="56">
        <v>80</v>
      </c>
      <c r="F10" s="103">
        <v>12</v>
      </c>
      <c r="G10" s="57">
        <f>1340*0.08</f>
        <v>107.2</v>
      </c>
      <c r="H10" s="57">
        <f>18.52*0.08</f>
        <v>1.4816</v>
      </c>
      <c r="I10" s="57">
        <f>60.42*0.08</f>
        <v>4.8336000000000006</v>
      </c>
      <c r="J10" s="59">
        <f>180.63*0.08</f>
        <v>14.4504</v>
      </c>
    </row>
    <row r="11" spans="1:10" s="1" customFormat="1" ht="12.15" customHeight="1" x14ac:dyDescent="0.25">
      <c r="A11" s="189"/>
      <c r="B11" s="122" t="s">
        <v>146</v>
      </c>
      <c r="C11" s="22" t="s">
        <v>79</v>
      </c>
      <c r="D11" s="23" t="s">
        <v>80</v>
      </c>
      <c r="E11" s="24">
        <v>200</v>
      </c>
      <c r="F11" s="98">
        <v>10.37</v>
      </c>
      <c r="G11" s="26">
        <f>320*0.2</f>
        <v>64</v>
      </c>
      <c r="H11" s="26">
        <f>7.02*0.2</f>
        <v>1.4039999999999999</v>
      </c>
      <c r="I11" s="26">
        <f>19.54*0.2</f>
        <v>3.9079999999999999</v>
      </c>
      <c r="J11" s="60">
        <f>23.6*0.2</f>
        <v>4.7200000000000006</v>
      </c>
    </row>
    <row r="12" spans="1:10" s="1" customFormat="1" ht="12.15" customHeight="1" x14ac:dyDescent="0.25">
      <c r="A12" s="189"/>
      <c r="B12" s="122" t="s">
        <v>164</v>
      </c>
      <c r="C12" s="22">
        <v>223</v>
      </c>
      <c r="D12" s="23" t="s">
        <v>83</v>
      </c>
      <c r="E12" s="24">
        <v>180</v>
      </c>
      <c r="F12" s="98">
        <v>45.17</v>
      </c>
      <c r="G12" s="26">
        <f>189*180/80</f>
        <v>425.25</v>
      </c>
      <c r="H12" s="26">
        <f>10.23*180/70</f>
        <v>26.305714285714288</v>
      </c>
      <c r="I12" s="26">
        <f>7.74*180/80</f>
        <v>17.414999999999999</v>
      </c>
      <c r="J12" s="60">
        <f>19.61*180/80</f>
        <v>44.122499999999995</v>
      </c>
    </row>
    <row r="13" spans="1:10" s="1" customFormat="1" ht="12.15" customHeight="1" x14ac:dyDescent="0.25">
      <c r="A13" s="189"/>
      <c r="B13" s="122" t="s">
        <v>153</v>
      </c>
      <c r="C13" s="22"/>
      <c r="D13" s="23" t="s">
        <v>62</v>
      </c>
      <c r="E13" s="24">
        <v>15</v>
      </c>
      <c r="F13" s="98">
        <v>4</v>
      </c>
      <c r="G13" s="26">
        <f>123.4*15/40</f>
        <v>46.274999999999999</v>
      </c>
      <c r="H13" s="26">
        <f>3*15/40</f>
        <v>1.125</v>
      </c>
      <c r="I13" s="26">
        <f>3.8*15/40</f>
        <v>1.425</v>
      </c>
      <c r="J13" s="60">
        <f>23*15/40</f>
        <v>8.625</v>
      </c>
    </row>
    <row r="14" spans="1:10" s="1" customFormat="1" ht="12.15" customHeight="1" x14ac:dyDescent="0.25">
      <c r="A14" s="189"/>
      <c r="B14" s="122" t="s">
        <v>152</v>
      </c>
      <c r="C14" s="22" t="s">
        <v>29</v>
      </c>
      <c r="D14" s="23" t="s">
        <v>60</v>
      </c>
      <c r="E14" s="24">
        <v>180</v>
      </c>
      <c r="F14" s="98">
        <v>8</v>
      </c>
      <c r="G14" s="26">
        <f>100*180/200</f>
        <v>90</v>
      </c>
      <c r="H14" s="26">
        <f>5.8*180/200</f>
        <v>5.22</v>
      </c>
      <c r="I14" s="26">
        <f>5*180/200</f>
        <v>4.5</v>
      </c>
      <c r="J14" s="60">
        <f>8*180/200</f>
        <v>7.2</v>
      </c>
    </row>
    <row r="15" spans="1:10" s="1" customFormat="1" ht="12.15" customHeight="1" x14ac:dyDescent="0.25">
      <c r="A15" s="189"/>
      <c r="B15" s="122" t="s">
        <v>144</v>
      </c>
      <c r="C15" s="22" t="s">
        <v>14</v>
      </c>
      <c r="D15" s="23" t="s">
        <v>84</v>
      </c>
      <c r="E15" s="24">
        <v>120</v>
      </c>
      <c r="F15" s="98">
        <v>8</v>
      </c>
      <c r="G15" s="26">
        <v>56.4</v>
      </c>
      <c r="H15" s="26">
        <v>0.5</v>
      </c>
      <c r="I15" s="26">
        <v>0.5</v>
      </c>
      <c r="J15" s="60">
        <v>11.8</v>
      </c>
    </row>
    <row r="16" spans="1:10" s="1" customFormat="1" ht="12.15" customHeight="1" x14ac:dyDescent="0.25">
      <c r="A16" s="189"/>
      <c r="B16" s="122" t="s">
        <v>145</v>
      </c>
      <c r="C16" s="22"/>
      <c r="D16" s="23" t="s">
        <v>16</v>
      </c>
      <c r="E16" s="24">
        <v>40</v>
      </c>
      <c r="F16" s="98">
        <v>3.1</v>
      </c>
      <c r="G16" s="26">
        <v>94.7</v>
      </c>
      <c r="H16" s="26">
        <v>3.1</v>
      </c>
      <c r="I16" s="26">
        <v>0.2</v>
      </c>
      <c r="J16" s="60">
        <v>20.100000000000001</v>
      </c>
    </row>
    <row r="17" spans="1:10" s="1" customFormat="1" ht="12.15" customHeight="1" x14ac:dyDescent="0.25">
      <c r="A17" s="189"/>
      <c r="B17" s="122" t="s">
        <v>145</v>
      </c>
      <c r="C17" s="22"/>
      <c r="D17" s="23" t="s">
        <v>17</v>
      </c>
      <c r="E17" s="24">
        <v>20</v>
      </c>
      <c r="F17" s="98">
        <v>2.5</v>
      </c>
      <c r="G17" s="26">
        <v>40.799999999999997</v>
      </c>
      <c r="H17" s="26">
        <v>1.3</v>
      </c>
      <c r="I17" s="26">
        <v>0.2</v>
      </c>
      <c r="J17" s="60">
        <v>8.5</v>
      </c>
    </row>
    <row r="18" spans="1:10" s="18" customFormat="1" ht="21.6" customHeight="1" thickBot="1" x14ac:dyDescent="0.3">
      <c r="A18" s="190"/>
      <c r="B18" s="123"/>
      <c r="C18" s="78"/>
      <c r="D18" s="81" t="s">
        <v>18</v>
      </c>
      <c r="E18" s="82">
        <v>835</v>
      </c>
      <c r="F18" s="63">
        <f>SUM(F10:F17)</f>
        <v>93.139999999999986</v>
      </c>
      <c r="G18" s="83">
        <f>SUM(G11:G17)</f>
        <v>817.42499999999995</v>
      </c>
      <c r="H18" s="83">
        <f>SUM(H11:H17)</f>
        <v>38.954714285714289</v>
      </c>
      <c r="I18" s="83">
        <f>SUM(I11:I17)</f>
        <v>28.148</v>
      </c>
      <c r="J18" s="85">
        <f>SUM(J11:J17)</f>
        <v>105.0675</v>
      </c>
    </row>
  </sheetData>
  <mergeCells count="11">
    <mergeCell ref="A10:A18"/>
    <mergeCell ref="B1:D1"/>
    <mergeCell ref="A2:A3"/>
    <mergeCell ref="B2:B3"/>
    <mergeCell ref="C2:C3"/>
    <mergeCell ref="D2:D3"/>
    <mergeCell ref="F2:F3"/>
    <mergeCell ref="G2:G3"/>
    <mergeCell ref="H2:J2"/>
    <mergeCell ref="A4:A9"/>
    <mergeCell ref="E2:E3"/>
  </mergeCells>
  <pageMargins left="0.7" right="0.7" top="0.75" bottom="0.75" header="0.3" footer="0.3"/>
  <pageSetup paperSize="9" scale="67" orientation="portrait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F7" sqref="F7"/>
    </sheetView>
  </sheetViews>
  <sheetFormatPr defaultRowHeight="14.4" x14ac:dyDescent="0.3"/>
  <cols>
    <col min="2" max="2" width="20.77734375" customWidth="1"/>
    <col min="4" max="4" width="59.6640625" customWidth="1"/>
    <col min="6" max="10" width="8.88671875" style="126"/>
  </cols>
  <sheetData>
    <row r="1" spans="1:12" x14ac:dyDescent="0.3">
      <c r="A1" t="s">
        <v>159</v>
      </c>
      <c r="B1" s="144" t="s">
        <v>160</v>
      </c>
      <c r="C1" s="145"/>
      <c r="D1" s="146"/>
      <c r="E1" t="s">
        <v>161</v>
      </c>
      <c r="G1" s="127"/>
      <c r="I1" s="126" t="s">
        <v>162</v>
      </c>
      <c r="J1" s="127"/>
    </row>
    <row r="2" spans="1:12" s="89" customFormat="1" ht="13.35" customHeight="1" x14ac:dyDescent="0.2">
      <c r="A2" s="186" t="s">
        <v>150</v>
      </c>
      <c r="B2" s="171" t="s">
        <v>155</v>
      </c>
      <c r="C2" s="161" t="s">
        <v>0</v>
      </c>
      <c r="D2" s="143" t="s">
        <v>1</v>
      </c>
      <c r="E2" s="143" t="s">
        <v>2</v>
      </c>
      <c r="F2" s="160" t="s">
        <v>4</v>
      </c>
      <c r="G2" s="159" t="s">
        <v>3</v>
      </c>
      <c r="H2" s="159" t="s">
        <v>5</v>
      </c>
      <c r="I2" s="159"/>
      <c r="J2" s="159"/>
    </row>
    <row r="3" spans="1:12" s="89" customFormat="1" ht="26.55" customHeight="1" thickBot="1" x14ac:dyDescent="0.25">
      <c r="A3" s="191"/>
      <c r="B3" s="191"/>
      <c r="C3" s="162"/>
      <c r="D3" s="147"/>
      <c r="E3" s="147"/>
      <c r="F3" s="163"/>
      <c r="G3" s="160"/>
      <c r="H3" s="128" t="s">
        <v>6</v>
      </c>
      <c r="I3" s="128" t="s">
        <v>7</v>
      </c>
      <c r="J3" s="128" t="s">
        <v>8</v>
      </c>
    </row>
    <row r="4" spans="1:12" s="1" customFormat="1" ht="12.15" customHeight="1" x14ac:dyDescent="0.25">
      <c r="A4" s="187" t="s">
        <v>139</v>
      </c>
      <c r="B4" s="49" t="s">
        <v>141</v>
      </c>
      <c r="C4" s="34" t="s">
        <v>48</v>
      </c>
      <c r="D4" s="55" t="s">
        <v>49</v>
      </c>
      <c r="E4" s="34">
        <v>60</v>
      </c>
      <c r="F4" s="103">
        <v>8</v>
      </c>
      <c r="G4" s="104">
        <f>10*60/100</f>
        <v>6</v>
      </c>
      <c r="H4" s="104">
        <f>0.56*60/100</f>
        <v>0.33600000000000002</v>
      </c>
      <c r="I4" s="104">
        <f>0.05*60/100</f>
        <v>0.03</v>
      </c>
      <c r="J4" s="105">
        <f>1.75*60/100</f>
        <v>1.05</v>
      </c>
    </row>
    <row r="5" spans="1:12" s="1" customFormat="1" ht="12.15" customHeight="1" x14ac:dyDescent="0.25">
      <c r="A5" s="149"/>
      <c r="B5" s="14" t="s">
        <v>147</v>
      </c>
      <c r="C5" s="22" t="s">
        <v>87</v>
      </c>
      <c r="D5" s="23" t="s">
        <v>88</v>
      </c>
      <c r="E5" s="24">
        <v>150</v>
      </c>
      <c r="F5" s="98">
        <v>11.05</v>
      </c>
      <c r="G5" s="25">
        <f>915*0.15</f>
        <v>137.25</v>
      </c>
      <c r="H5" s="25">
        <f>20.43*0.15</f>
        <v>3.0644999999999998</v>
      </c>
      <c r="I5" s="25">
        <f>32.01*0.15</f>
        <v>4.8014999999999999</v>
      </c>
      <c r="J5" s="99">
        <f>136.26*0.15</f>
        <v>20.438999999999997</v>
      </c>
    </row>
    <row r="6" spans="1:12" s="1" customFormat="1" ht="12.15" customHeight="1" x14ac:dyDescent="0.25">
      <c r="A6" s="149"/>
      <c r="B6" s="14" t="s">
        <v>165</v>
      </c>
      <c r="C6" s="22" t="s">
        <v>89</v>
      </c>
      <c r="D6" s="23" t="s">
        <v>90</v>
      </c>
      <c r="E6" s="24">
        <v>90</v>
      </c>
      <c r="F6" s="98">
        <f>32.49+0.248</f>
        <v>32.738</v>
      </c>
      <c r="G6" s="25">
        <f>159*0.9</f>
        <v>143.1</v>
      </c>
      <c r="H6" s="25">
        <f>12.66*0.9</f>
        <v>11.394</v>
      </c>
      <c r="I6" s="25">
        <f>8.76*0.9</f>
        <v>7.8840000000000003</v>
      </c>
      <c r="J6" s="99">
        <f>3.18*0.9</f>
        <v>2.8620000000000001</v>
      </c>
      <c r="L6" s="124"/>
    </row>
    <row r="7" spans="1:12" s="1" customFormat="1" ht="12.15" customHeight="1" x14ac:dyDescent="0.25">
      <c r="A7" s="149"/>
      <c r="B7" s="14" t="s">
        <v>152</v>
      </c>
      <c r="C7" s="22" t="s">
        <v>29</v>
      </c>
      <c r="D7" s="23" t="s">
        <v>30</v>
      </c>
      <c r="E7" s="24">
        <v>180</v>
      </c>
      <c r="F7" s="98">
        <v>8</v>
      </c>
      <c r="G7" s="25">
        <v>95.4</v>
      </c>
      <c r="H7" s="25">
        <v>5.2</v>
      </c>
      <c r="I7" s="25">
        <v>4.5</v>
      </c>
      <c r="J7" s="99">
        <v>7.2</v>
      </c>
    </row>
    <row r="8" spans="1:12" s="1" customFormat="1" ht="12.15" customHeight="1" x14ac:dyDescent="0.25">
      <c r="A8" s="149"/>
      <c r="B8" s="14" t="s">
        <v>145</v>
      </c>
      <c r="C8" s="22"/>
      <c r="D8" s="23" t="s">
        <v>16</v>
      </c>
      <c r="E8" s="24">
        <v>40</v>
      </c>
      <c r="F8" s="98">
        <v>3.1</v>
      </c>
      <c r="G8" s="25">
        <v>94.7</v>
      </c>
      <c r="H8" s="25">
        <v>3.1</v>
      </c>
      <c r="I8" s="25">
        <v>0.2</v>
      </c>
      <c r="J8" s="99">
        <v>20.100000000000001</v>
      </c>
    </row>
    <row r="9" spans="1:12" s="1" customFormat="1" ht="12.15" customHeight="1" x14ac:dyDescent="0.25">
      <c r="A9" s="149"/>
      <c r="B9" s="14" t="s">
        <v>145</v>
      </c>
      <c r="C9" s="22"/>
      <c r="D9" s="23" t="s">
        <v>17</v>
      </c>
      <c r="E9" s="24">
        <v>20</v>
      </c>
      <c r="F9" s="98">
        <v>2.5</v>
      </c>
      <c r="G9" s="25">
        <v>40.799999999999997</v>
      </c>
      <c r="H9" s="25">
        <v>1.3</v>
      </c>
      <c r="I9" s="25">
        <v>0.2</v>
      </c>
      <c r="J9" s="99">
        <v>8.5</v>
      </c>
    </row>
    <row r="10" spans="1:12" s="1" customFormat="1" ht="21.6" customHeight="1" thickBot="1" x14ac:dyDescent="0.3">
      <c r="A10" s="150"/>
      <c r="B10" s="54"/>
      <c r="C10" s="42"/>
      <c r="D10" s="61" t="s">
        <v>18</v>
      </c>
      <c r="E10" s="62">
        <v>540</v>
      </c>
      <c r="F10" s="63">
        <f>SUM(F4:F9)</f>
        <v>65.388000000000005</v>
      </c>
      <c r="G10" s="100">
        <f>SUM(G4:G9)</f>
        <v>517.25</v>
      </c>
      <c r="H10" s="100">
        <f>SUM(H4:H9)</f>
        <v>24.394500000000001</v>
      </c>
      <c r="I10" s="100">
        <f>SUM(I4:I9)</f>
        <v>17.615499999999997</v>
      </c>
      <c r="J10" s="101">
        <f>SUM(J4:J9)</f>
        <v>60.150999999999996</v>
      </c>
    </row>
    <row r="11" spans="1:12" s="1" customFormat="1" ht="12.15" customHeight="1" x14ac:dyDescent="0.25">
      <c r="A11" s="187" t="s">
        <v>140</v>
      </c>
      <c r="B11" s="49" t="s">
        <v>146</v>
      </c>
      <c r="C11" s="34">
        <v>99</v>
      </c>
      <c r="D11" s="35" t="s">
        <v>91</v>
      </c>
      <c r="E11" s="48">
        <v>200</v>
      </c>
      <c r="F11" s="38">
        <v>8.06</v>
      </c>
      <c r="G11" s="37">
        <f>381*0.2</f>
        <v>76.2</v>
      </c>
      <c r="H11" s="37">
        <f>6.35*0.2</f>
        <v>1.27</v>
      </c>
      <c r="I11" s="37">
        <f>19.35*0.2</f>
        <v>3.8700000000000006</v>
      </c>
      <c r="J11" s="39">
        <f>36.56*0.2</f>
        <v>7.3120000000000012</v>
      </c>
    </row>
    <row r="12" spans="1:12" s="1" customFormat="1" ht="12.15" customHeight="1" x14ac:dyDescent="0.25">
      <c r="A12" s="149"/>
      <c r="B12" s="14" t="s">
        <v>147</v>
      </c>
      <c r="C12" s="22">
        <v>204</v>
      </c>
      <c r="D12" s="15" t="s">
        <v>92</v>
      </c>
      <c r="E12" s="3">
        <v>150</v>
      </c>
      <c r="F12" s="7">
        <v>12.29</v>
      </c>
      <c r="G12" s="4">
        <f>209*150/125</f>
        <v>250.8</v>
      </c>
      <c r="H12" s="4">
        <f>8.46*150/125</f>
        <v>10.152000000000001</v>
      </c>
      <c r="I12" s="4">
        <f>9.95*150/125</f>
        <v>11.94</v>
      </c>
      <c r="J12" s="40">
        <f>21.32*150/125</f>
        <v>25.584</v>
      </c>
    </row>
    <row r="13" spans="1:12" s="1" customFormat="1" ht="12.15" customHeight="1" x14ac:dyDescent="0.25">
      <c r="A13" s="149"/>
      <c r="B13" s="14" t="s">
        <v>141</v>
      </c>
      <c r="C13" s="22" t="s">
        <v>93</v>
      </c>
      <c r="D13" s="15" t="s">
        <v>94</v>
      </c>
      <c r="E13" s="2" t="s">
        <v>95</v>
      </c>
      <c r="F13" s="7">
        <v>10.09</v>
      </c>
      <c r="G13" s="4">
        <v>54</v>
      </c>
      <c r="H13" s="4">
        <v>0.7</v>
      </c>
      <c r="I13" s="4">
        <v>3.1</v>
      </c>
      <c r="J13" s="40">
        <v>5.7</v>
      </c>
    </row>
    <row r="14" spans="1:12" s="1" customFormat="1" ht="12.15" customHeight="1" x14ac:dyDescent="0.25">
      <c r="A14" s="149"/>
      <c r="B14" s="14" t="s">
        <v>165</v>
      </c>
      <c r="C14" s="22" t="s">
        <v>96</v>
      </c>
      <c r="D14" s="15" t="s">
        <v>97</v>
      </c>
      <c r="E14" s="3">
        <v>90</v>
      </c>
      <c r="F14" s="7">
        <v>36</v>
      </c>
      <c r="G14" s="4">
        <f>290*90/100</f>
        <v>261</v>
      </c>
      <c r="H14" s="4">
        <f>15.2*90/100</f>
        <v>13.68</v>
      </c>
      <c r="I14" s="4">
        <f>23.1*90/100</f>
        <v>20.79</v>
      </c>
      <c r="J14" s="40">
        <f>5.12*90/100</f>
        <v>4.6080000000000005</v>
      </c>
    </row>
    <row r="15" spans="1:12" s="1" customFormat="1" ht="12.15" customHeight="1" x14ac:dyDescent="0.25">
      <c r="A15" s="149"/>
      <c r="B15" s="14" t="s">
        <v>143</v>
      </c>
      <c r="C15" s="22" t="s">
        <v>37</v>
      </c>
      <c r="D15" s="29" t="s">
        <v>98</v>
      </c>
      <c r="E15" s="8">
        <v>200</v>
      </c>
      <c r="F15" s="10">
        <v>6</v>
      </c>
      <c r="G15" s="9">
        <f>503*0.2</f>
        <v>100.60000000000001</v>
      </c>
      <c r="H15" s="9">
        <f>15.83*0.2</f>
        <v>3.1660000000000004</v>
      </c>
      <c r="I15" s="9">
        <f>13.39*0.2</f>
        <v>2.6780000000000004</v>
      </c>
      <c r="J15" s="40">
        <f>79.73*0.2</f>
        <v>15.946000000000002</v>
      </c>
    </row>
    <row r="16" spans="1:12" s="1" customFormat="1" ht="12.15" customHeight="1" x14ac:dyDescent="0.25">
      <c r="A16" s="149"/>
      <c r="B16" s="14" t="s">
        <v>144</v>
      </c>
      <c r="C16" s="22" t="s">
        <v>14</v>
      </c>
      <c r="D16" s="15" t="s">
        <v>15</v>
      </c>
      <c r="E16" s="3">
        <v>120</v>
      </c>
      <c r="F16" s="7">
        <v>6</v>
      </c>
      <c r="G16" s="4">
        <v>56.4</v>
      </c>
      <c r="H16" s="4">
        <v>0.5</v>
      </c>
      <c r="I16" s="4">
        <v>0.5</v>
      </c>
      <c r="J16" s="40">
        <v>11.8</v>
      </c>
    </row>
    <row r="17" spans="1:10" s="1" customFormat="1" ht="12.15" customHeight="1" x14ac:dyDescent="0.25">
      <c r="A17" s="149"/>
      <c r="B17" s="14" t="s">
        <v>154</v>
      </c>
      <c r="C17" s="22" t="s">
        <v>46</v>
      </c>
      <c r="D17" s="15" t="s">
        <v>47</v>
      </c>
      <c r="E17" s="3">
        <v>200</v>
      </c>
      <c r="F17" s="7">
        <v>10</v>
      </c>
      <c r="G17" s="4">
        <v>52</v>
      </c>
      <c r="H17" s="4">
        <v>2.8</v>
      </c>
      <c r="I17" s="4">
        <v>2.5</v>
      </c>
      <c r="J17" s="40">
        <v>4.7</v>
      </c>
    </row>
    <row r="18" spans="1:10" s="1" customFormat="1" ht="12.15" customHeight="1" x14ac:dyDescent="0.25">
      <c r="A18" s="149"/>
      <c r="B18" s="14" t="s">
        <v>145</v>
      </c>
      <c r="C18" s="22"/>
      <c r="D18" s="15" t="s">
        <v>16</v>
      </c>
      <c r="E18" s="3">
        <v>30</v>
      </c>
      <c r="F18" s="7">
        <v>2.2400000000000002</v>
      </c>
      <c r="G18" s="4">
        <v>71</v>
      </c>
      <c r="H18" s="4">
        <v>2.2999999999999998</v>
      </c>
      <c r="I18" s="4">
        <v>0.2</v>
      </c>
      <c r="J18" s="40">
        <v>15.1</v>
      </c>
    </row>
    <row r="19" spans="1:10" s="1" customFormat="1" ht="12.15" customHeight="1" x14ac:dyDescent="0.25">
      <c r="A19" s="149"/>
      <c r="B19" s="14" t="s">
        <v>145</v>
      </c>
      <c r="C19" s="22"/>
      <c r="D19" s="15" t="s">
        <v>17</v>
      </c>
      <c r="E19" s="3">
        <v>20</v>
      </c>
      <c r="F19" s="7">
        <v>2.5</v>
      </c>
      <c r="G19" s="4">
        <v>40.799999999999997</v>
      </c>
      <c r="H19" s="4">
        <v>1.3</v>
      </c>
      <c r="I19" s="4">
        <v>0.2</v>
      </c>
      <c r="J19" s="40">
        <v>8.5</v>
      </c>
    </row>
    <row r="20" spans="1:10" s="1" customFormat="1" ht="21.6" customHeight="1" thickBot="1" x14ac:dyDescent="0.3">
      <c r="A20" s="150"/>
      <c r="B20" s="54"/>
      <c r="C20" s="42"/>
      <c r="D20" s="43" t="s">
        <v>18</v>
      </c>
      <c r="E20" s="44">
        <v>810</v>
      </c>
      <c r="F20" s="46">
        <f>SUM(F11:F19)</f>
        <v>93.179999999999993</v>
      </c>
      <c r="G20" s="45">
        <f>SUM(G11:G19)</f>
        <v>962.8</v>
      </c>
      <c r="H20" s="45">
        <f>SUM(H11:H19)</f>
        <v>35.867999999999995</v>
      </c>
      <c r="I20" s="45">
        <f>SUM(I11:I19)</f>
        <v>45.778000000000006</v>
      </c>
      <c r="J20" s="47">
        <f>SUM(J11:J19)</f>
        <v>99.25</v>
      </c>
    </row>
  </sheetData>
  <mergeCells count="11">
    <mergeCell ref="B1:D1"/>
    <mergeCell ref="A2:A3"/>
    <mergeCell ref="B2:B3"/>
    <mergeCell ref="C2:C3"/>
    <mergeCell ref="D2:D3"/>
    <mergeCell ref="F2:F3"/>
    <mergeCell ref="G2:G3"/>
    <mergeCell ref="H2:J2"/>
    <mergeCell ref="A4:A10"/>
    <mergeCell ref="A11:A20"/>
    <mergeCell ref="E2:E3"/>
  </mergeCells>
  <pageMargins left="0.7" right="0.7" top="0.75" bottom="0.75" header="0.3" footer="0.3"/>
  <pageSetup paperSize="9" scale="65" orientation="portrait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C22" sqref="C22"/>
    </sheetView>
  </sheetViews>
  <sheetFormatPr defaultRowHeight="14.4" x14ac:dyDescent="0.3"/>
  <cols>
    <col min="2" max="2" width="19.88671875" customWidth="1"/>
    <col min="4" max="4" width="46.5546875" customWidth="1"/>
    <col min="6" max="10" width="8.88671875" style="129"/>
    <col min="11" max="11" width="8.5546875" customWidth="1"/>
  </cols>
  <sheetData>
    <row r="1" spans="1:12" x14ac:dyDescent="0.3">
      <c r="A1" t="s">
        <v>159</v>
      </c>
      <c r="B1" s="144" t="s">
        <v>160</v>
      </c>
      <c r="C1" s="145"/>
      <c r="D1" s="146"/>
      <c r="E1" t="s">
        <v>161</v>
      </c>
      <c r="G1" s="130"/>
      <c r="I1" s="129" t="s">
        <v>162</v>
      </c>
      <c r="J1" s="130"/>
    </row>
    <row r="2" spans="1:12" s="89" customFormat="1" ht="13.35" customHeight="1" x14ac:dyDescent="0.2">
      <c r="A2" s="186" t="s">
        <v>150</v>
      </c>
      <c r="B2" s="171" t="s">
        <v>155</v>
      </c>
      <c r="C2" s="161" t="s">
        <v>0</v>
      </c>
      <c r="D2" s="143" t="s">
        <v>1</v>
      </c>
      <c r="E2" s="143" t="s">
        <v>2</v>
      </c>
      <c r="F2" s="160" t="s">
        <v>4</v>
      </c>
      <c r="G2" s="159" t="s">
        <v>3</v>
      </c>
      <c r="H2" s="159" t="s">
        <v>5</v>
      </c>
      <c r="I2" s="159"/>
      <c r="J2" s="159"/>
    </row>
    <row r="3" spans="1:12" s="89" customFormat="1" ht="26.55" customHeight="1" thickBot="1" x14ac:dyDescent="0.25">
      <c r="A3" s="191"/>
      <c r="B3" s="191"/>
      <c r="C3" s="162"/>
      <c r="D3" s="147"/>
      <c r="E3" s="147"/>
      <c r="F3" s="163"/>
      <c r="G3" s="160"/>
      <c r="H3" s="128" t="s">
        <v>6</v>
      </c>
      <c r="I3" s="128" t="s">
        <v>7</v>
      </c>
      <c r="J3" s="128" t="s">
        <v>8</v>
      </c>
    </row>
    <row r="4" spans="1:12" s="1" customFormat="1" ht="12.15" customHeight="1" x14ac:dyDescent="0.25">
      <c r="A4" s="187" t="s">
        <v>139</v>
      </c>
      <c r="B4" s="49" t="s">
        <v>164</v>
      </c>
      <c r="C4" s="34" t="s">
        <v>101</v>
      </c>
      <c r="D4" s="55" t="s">
        <v>102</v>
      </c>
      <c r="E4" s="56">
        <v>150</v>
      </c>
      <c r="F4" s="103">
        <f>37.05+0.248</f>
        <v>37.297999999999995</v>
      </c>
      <c r="G4" s="57">
        <f>144*150/80</f>
        <v>270</v>
      </c>
      <c r="H4" s="57">
        <f>8.82*150/80</f>
        <v>16.537500000000001</v>
      </c>
      <c r="I4" s="57">
        <f>6.07*150/80</f>
        <v>11.38125</v>
      </c>
      <c r="J4" s="59">
        <f>13.61*150/80</f>
        <v>25.518750000000001</v>
      </c>
      <c r="L4" s="6"/>
    </row>
    <row r="5" spans="1:12" s="1" customFormat="1" ht="12.15" customHeight="1" x14ac:dyDescent="0.25">
      <c r="A5" s="149"/>
      <c r="B5" s="14"/>
      <c r="C5" s="22" t="s">
        <v>10</v>
      </c>
      <c r="D5" s="23" t="s">
        <v>11</v>
      </c>
      <c r="E5" s="24">
        <v>20</v>
      </c>
      <c r="F5" s="98">
        <v>14.61</v>
      </c>
      <c r="G5" s="26">
        <f>108*20/30</f>
        <v>72</v>
      </c>
      <c r="H5" s="26">
        <f>6.96*20/30</f>
        <v>4.6399999999999997</v>
      </c>
      <c r="I5" s="26">
        <f>8.85*20/30</f>
        <v>5.9</v>
      </c>
      <c r="J5" s="60">
        <v>0</v>
      </c>
    </row>
    <row r="6" spans="1:12" s="1" customFormat="1" ht="12.15" customHeight="1" x14ac:dyDescent="0.25">
      <c r="A6" s="149"/>
      <c r="B6" s="14" t="s">
        <v>152</v>
      </c>
      <c r="C6" s="22" t="s">
        <v>29</v>
      </c>
      <c r="D6" s="23" t="s">
        <v>60</v>
      </c>
      <c r="E6" s="24">
        <v>180</v>
      </c>
      <c r="F6" s="98">
        <v>8</v>
      </c>
      <c r="G6" s="26">
        <f>100*180/200</f>
        <v>90</v>
      </c>
      <c r="H6" s="26">
        <f>5.8*180/200</f>
        <v>5.22</v>
      </c>
      <c r="I6" s="26">
        <f>5*180/200</f>
        <v>4.5</v>
      </c>
      <c r="J6" s="60">
        <f>8*180/200</f>
        <v>7.2</v>
      </c>
    </row>
    <row r="7" spans="1:12" s="1" customFormat="1" ht="12.15" customHeight="1" x14ac:dyDescent="0.25">
      <c r="A7" s="149"/>
      <c r="B7" s="14" t="s">
        <v>144</v>
      </c>
      <c r="C7" s="22" t="s">
        <v>14</v>
      </c>
      <c r="D7" s="23" t="s">
        <v>84</v>
      </c>
      <c r="E7" s="24">
        <v>100</v>
      </c>
      <c r="F7" s="98">
        <v>8</v>
      </c>
      <c r="G7" s="26">
        <f>56.4*100/120</f>
        <v>47</v>
      </c>
      <c r="H7" s="26">
        <f>0.5*100/120</f>
        <v>0.41666666666666669</v>
      </c>
      <c r="I7" s="26">
        <v>0.4</v>
      </c>
      <c r="J7" s="60">
        <f>11.8*100/120</f>
        <v>9.8333333333333339</v>
      </c>
    </row>
    <row r="8" spans="1:12" s="1" customFormat="1" ht="12.15" customHeight="1" x14ac:dyDescent="0.25">
      <c r="A8" s="149"/>
      <c r="B8" s="14" t="s">
        <v>145</v>
      </c>
      <c r="C8" s="22"/>
      <c r="D8" s="23" t="s">
        <v>16</v>
      </c>
      <c r="E8" s="24">
        <v>30</v>
      </c>
      <c r="F8" s="98">
        <v>2.2400000000000002</v>
      </c>
      <c r="G8" s="26">
        <f>94.7*30/40</f>
        <v>71.025000000000006</v>
      </c>
      <c r="H8" s="26">
        <f>3.3*30/40</f>
        <v>2.4750000000000001</v>
      </c>
      <c r="I8" s="26">
        <f>0.2*30/40</f>
        <v>0.15</v>
      </c>
      <c r="J8" s="60">
        <f>20.1*30/40</f>
        <v>15.074999999999999</v>
      </c>
    </row>
    <row r="9" spans="1:12" s="1" customFormat="1" ht="12.15" customHeight="1" x14ac:dyDescent="0.25">
      <c r="A9" s="149"/>
      <c r="B9" s="14" t="s">
        <v>145</v>
      </c>
      <c r="C9" s="22"/>
      <c r="D9" s="23" t="s">
        <v>17</v>
      </c>
      <c r="E9" s="24">
        <v>20</v>
      </c>
      <c r="F9" s="98">
        <v>2.5</v>
      </c>
      <c r="G9" s="26">
        <v>40.799999999999997</v>
      </c>
      <c r="H9" s="26">
        <v>1.3</v>
      </c>
      <c r="I9" s="26">
        <v>0.2</v>
      </c>
      <c r="J9" s="60">
        <v>8.5</v>
      </c>
    </row>
    <row r="10" spans="1:12" s="1" customFormat="1" ht="12.15" customHeight="1" thickBot="1" x14ac:dyDescent="0.3">
      <c r="A10" s="150"/>
      <c r="B10" s="54"/>
      <c r="C10" s="42"/>
      <c r="D10" s="61" t="s">
        <v>18</v>
      </c>
      <c r="E10" s="62">
        <v>500</v>
      </c>
      <c r="F10" s="63">
        <f>SUM(F4:F9)</f>
        <v>72.647999999999982</v>
      </c>
      <c r="G10" s="131">
        <f>SUM(G4:G8)</f>
        <v>550.02499999999998</v>
      </c>
      <c r="H10" s="131">
        <f>SUM(H4:H8)</f>
        <v>29.28916666666667</v>
      </c>
      <c r="I10" s="131">
        <f>SUM(I4:I8)</f>
        <v>22.331249999999997</v>
      </c>
      <c r="J10" s="132">
        <f>SUM(J4:J8)</f>
        <v>57.627083333333331</v>
      </c>
    </row>
    <row r="11" spans="1:12" s="1" customFormat="1" ht="12.15" customHeight="1" x14ac:dyDescent="0.25">
      <c r="A11" s="187" t="s">
        <v>140</v>
      </c>
      <c r="B11" s="49" t="s">
        <v>141</v>
      </c>
      <c r="C11" s="34" t="s">
        <v>31</v>
      </c>
      <c r="D11" s="55" t="s">
        <v>103</v>
      </c>
      <c r="E11" s="64">
        <v>60</v>
      </c>
      <c r="F11" s="38">
        <v>8</v>
      </c>
      <c r="G11" s="51">
        <f>591*0.06</f>
        <v>35.46</v>
      </c>
      <c r="H11" s="51">
        <f>8.48*0.1</f>
        <v>0.84800000000000009</v>
      </c>
      <c r="I11" s="51">
        <f>50.4*0.06</f>
        <v>3.024</v>
      </c>
      <c r="J11" s="52">
        <f>25.76*0.06</f>
        <v>1.5456000000000001</v>
      </c>
    </row>
    <row r="12" spans="1:12" s="1" customFormat="1" ht="12.15" customHeight="1" x14ac:dyDescent="0.25">
      <c r="A12" s="149"/>
      <c r="B12" s="14" t="s">
        <v>146</v>
      </c>
      <c r="C12" s="22" t="s">
        <v>104</v>
      </c>
      <c r="D12" s="23" t="s">
        <v>105</v>
      </c>
      <c r="E12" s="30">
        <v>200</v>
      </c>
      <c r="F12" s="7">
        <v>12.29</v>
      </c>
      <c r="G12" s="5">
        <f>511*0.2</f>
        <v>102.2</v>
      </c>
      <c r="H12" s="5">
        <f>14.23*0.2</f>
        <v>2.8460000000000001</v>
      </c>
      <c r="I12" s="5">
        <f>20.46*0.2</f>
        <v>4.0920000000000005</v>
      </c>
      <c r="J12" s="53">
        <f>56.66*0.2</f>
        <v>11.332000000000001</v>
      </c>
    </row>
    <row r="13" spans="1:12" s="1" customFormat="1" ht="12.15" customHeight="1" x14ac:dyDescent="0.25">
      <c r="A13" s="149"/>
      <c r="B13" s="14" t="s">
        <v>147</v>
      </c>
      <c r="C13" s="22" t="s">
        <v>106</v>
      </c>
      <c r="D13" s="23" t="s">
        <v>107</v>
      </c>
      <c r="E13" s="30">
        <v>150</v>
      </c>
      <c r="F13" s="7">
        <f>15.5-3.67</f>
        <v>11.83</v>
      </c>
      <c r="G13" s="5">
        <f>180*150/125</f>
        <v>216</v>
      </c>
      <c r="H13" s="5">
        <f>2.72*150/125</f>
        <v>3.2640000000000002</v>
      </c>
      <c r="I13" s="5">
        <f>10.49*150/125</f>
        <v>12.587999999999999</v>
      </c>
      <c r="J13" s="53">
        <f>18.88*150/125</f>
        <v>22.655999999999999</v>
      </c>
    </row>
    <row r="14" spans="1:12" s="1" customFormat="1" ht="12.15" customHeight="1" x14ac:dyDescent="0.25">
      <c r="A14" s="149"/>
      <c r="B14" s="14" t="s">
        <v>165</v>
      </c>
      <c r="C14" s="22" t="s">
        <v>24</v>
      </c>
      <c r="D14" s="23" t="s">
        <v>25</v>
      </c>
      <c r="E14" s="13">
        <v>125</v>
      </c>
      <c r="F14" s="7">
        <v>46.94</v>
      </c>
      <c r="G14" s="5">
        <f>128*125/55</f>
        <v>290.90909090909093</v>
      </c>
      <c r="H14" s="5">
        <f>6.5*125/55</f>
        <v>14.772727272727273</v>
      </c>
      <c r="I14" s="5">
        <f>7.73*125/55</f>
        <v>17.568181818181817</v>
      </c>
      <c r="J14" s="53">
        <f>7.99*125/55</f>
        <v>18.15909090909091</v>
      </c>
      <c r="L14" s="6"/>
    </row>
    <row r="15" spans="1:12" s="1" customFormat="1" ht="12" customHeight="1" x14ac:dyDescent="0.25">
      <c r="A15" s="149"/>
      <c r="B15" s="14" t="s">
        <v>143</v>
      </c>
      <c r="C15" s="22" t="s">
        <v>37</v>
      </c>
      <c r="D15" s="23" t="s">
        <v>38</v>
      </c>
      <c r="E15" s="31">
        <v>200</v>
      </c>
      <c r="F15" s="10">
        <v>6.5</v>
      </c>
      <c r="G15" s="133">
        <f>503*0.2</f>
        <v>100.60000000000001</v>
      </c>
      <c r="H15" s="133">
        <f>15.83*0.2</f>
        <v>3.1660000000000004</v>
      </c>
      <c r="I15" s="133">
        <f>13.39*0.2</f>
        <v>2.6780000000000004</v>
      </c>
      <c r="J15" s="53">
        <f>79.73*0.2</f>
        <v>15.946000000000002</v>
      </c>
    </row>
    <row r="16" spans="1:12" s="1" customFormat="1" ht="12.15" customHeight="1" x14ac:dyDescent="0.25">
      <c r="A16" s="149"/>
      <c r="B16" s="14" t="s">
        <v>145</v>
      </c>
      <c r="C16" s="22"/>
      <c r="D16" s="23" t="s">
        <v>16</v>
      </c>
      <c r="E16" s="30">
        <v>50</v>
      </c>
      <c r="F16" s="7">
        <f>2.24*50/30</f>
        <v>3.7333333333333338</v>
      </c>
      <c r="G16" s="5">
        <v>118.4</v>
      </c>
      <c r="H16" s="5">
        <v>3.8</v>
      </c>
      <c r="I16" s="5">
        <v>0.3</v>
      </c>
      <c r="J16" s="53">
        <v>25.1</v>
      </c>
    </row>
    <row r="17" spans="1:10" s="1" customFormat="1" ht="12.15" customHeight="1" x14ac:dyDescent="0.25">
      <c r="A17" s="149"/>
      <c r="B17" s="14" t="s">
        <v>145</v>
      </c>
      <c r="C17" s="22"/>
      <c r="D17" s="23" t="s">
        <v>17</v>
      </c>
      <c r="E17" s="30">
        <v>30</v>
      </c>
      <c r="F17" s="7">
        <f>2.5*30/20</f>
        <v>3.75</v>
      </c>
      <c r="G17" s="5">
        <v>61.2</v>
      </c>
      <c r="H17" s="5">
        <v>2</v>
      </c>
      <c r="I17" s="5">
        <v>0.3</v>
      </c>
      <c r="J17" s="53">
        <v>12.7</v>
      </c>
    </row>
    <row r="18" spans="1:10" s="1" customFormat="1" ht="21.6" customHeight="1" thickBot="1" x14ac:dyDescent="0.3">
      <c r="A18" s="150"/>
      <c r="B18" s="54"/>
      <c r="C18" s="42"/>
      <c r="D18" s="61" t="s">
        <v>18</v>
      </c>
      <c r="E18" s="74">
        <v>815</v>
      </c>
      <c r="F18" s="46">
        <f>SUM(F11:F17)</f>
        <v>93.043333333333337</v>
      </c>
      <c r="G18" s="134">
        <f>SUM(G12:G17)</f>
        <v>889.30909090909097</v>
      </c>
      <c r="H18" s="134">
        <f>SUM(H12:H17)</f>
        <v>29.848727272727274</v>
      </c>
      <c r="I18" s="134">
        <f>SUM(I12:I17)</f>
        <v>37.526181818181811</v>
      </c>
      <c r="J18" s="135">
        <f>SUM(J12:J17)</f>
        <v>105.8930909090909</v>
      </c>
    </row>
  </sheetData>
  <mergeCells count="11">
    <mergeCell ref="B1:D1"/>
    <mergeCell ref="A2:A3"/>
    <mergeCell ref="B2:B3"/>
    <mergeCell ref="C2:C3"/>
    <mergeCell ref="D2:D3"/>
    <mergeCell ref="A11:A18"/>
    <mergeCell ref="F2:F3"/>
    <mergeCell ref="G2:G3"/>
    <mergeCell ref="H2:J2"/>
    <mergeCell ref="A4:A10"/>
    <mergeCell ref="E2:E3"/>
  </mergeCells>
  <pageMargins left="0.7" right="0.7" top="0.75" bottom="0.75" header="0.3" footer="0.3"/>
  <pageSetup paperSize="9" scale="69" orientation="portrait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C26" sqref="C26"/>
    </sheetView>
  </sheetViews>
  <sheetFormatPr defaultRowHeight="14.4" x14ac:dyDescent="0.3"/>
  <cols>
    <col min="2" max="2" width="16.77734375" customWidth="1"/>
    <col min="4" max="4" width="52.6640625" customWidth="1"/>
    <col min="6" max="10" width="8.88671875" style="129"/>
  </cols>
  <sheetData>
    <row r="1" spans="1:10" x14ac:dyDescent="0.3">
      <c r="A1" t="s">
        <v>159</v>
      </c>
      <c r="B1" s="144" t="s">
        <v>160</v>
      </c>
      <c r="C1" s="145"/>
      <c r="D1" s="146"/>
      <c r="E1" t="s">
        <v>161</v>
      </c>
      <c r="G1" s="130"/>
      <c r="I1" s="129" t="s">
        <v>162</v>
      </c>
      <c r="J1" s="130"/>
    </row>
    <row r="2" spans="1:10" s="89" customFormat="1" ht="13.35" customHeight="1" x14ac:dyDescent="0.2">
      <c r="A2" s="186" t="s">
        <v>150</v>
      </c>
      <c r="B2" s="171" t="s">
        <v>155</v>
      </c>
      <c r="C2" s="161" t="s">
        <v>0</v>
      </c>
      <c r="D2" s="143" t="s">
        <v>1</v>
      </c>
      <c r="E2" s="143" t="s">
        <v>2</v>
      </c>
      <c r="F2" s="160" t="s">
        <v>4</v>
      </c>
      <c r="G2" s="159" t="s">
        <v>3</v>
      </c>
      <c r="H2" s="159" t="s">
        <v>5</v>
      </c>
      <c r="I2" s="159"/>
      <c r="J2" s="159"/>
    </row>
    <row r="3" spans="1:10" s="89" customFormat="1" ht="26.55" customHeight="1" thickBot="1" x14ac:dyDescent="0.25">
      <c r="A3" s="191"/>
      <c r="B3" s="191"/>
      <c r="C3" s="162"/>
      <c r="D3" s="147"/>
      <c r="E3" s="147"/>
      <c r="F3" s="163"/>
      <c r="G3" s="160"/>
      <c r="H3" s="128" t="s">
        <v>6</v>
      </c>
      <c r="I3" s="128" t="s">
        <v>7</v>
      </c>
      <c r="J3" s="128" t="s">
        <v>8</v>
      </c>
    </row>
    <row r="4" spans="1:10" s="1" customFormat="1" ht="12.15" customHeight="1" x14ac:dyDescent="0.25">
      <c r="A4" s="187" t="s">
        <v>139</v>
      </c>
      <c r="B4" s="49" t="s">
        <v>141</v>
      </c>
      <c r="C4" s="34" t="s">
        <v>108</v>
      </c>
      <c r="D4" s="55" t="s">
        <v>109</v>
      </c>
      <c r="E4" s="56">
        <v>60</v>
      </c>
      <c r="F4" s="103">
        <v>8</v>
      </c>
      <c r="G4" s="57">
        <f>953*0.06</f>
        <v>57.18</v>
      </c>
      <c r="H4" s="57">
        <f>12.57*0.06</f>
        <v>0.75419999999999998</v>
      </c>
      <c r="I4" s="57">
        <f>1.33*0.06</f>
        <v>7.9799999999999996E-2</v>
      </c>
      <c r="J4" s="59">
        <f>222.75*0.06</f>
        <v>13.365</v>
      </c>
    </row>
    <row r="5" spans="1:10" s="1" customFormat="1" ht="12.15" customHeight="1" x14ac:dyDescent="0.25">
      <c r="A5" s="149"/>
      <c r="B5" s="14" t="s">
        <v>147</v>
      </c>
      <c r="C5" s="22" t="s">
        <v>87</v>
      </c>
      <c r="D5" s="23" t="s">
        <v>110</v>
      </c>
      <c r="E5" s="24">
        <v>150</v>
      </c>
      <c r="F5" s="98">
        <v>10</v>
      </c>
      <c r="G5" s="26">
        <f>915*0.15</f>
        <v>137.25</v>
      </c>
      <c r="H5" s="26">
        <f>20.43*0.15</f>
        <v>3.0644999999999998</v>
      </c>
      <c r="I5" s="26">
        <f>32.01*0.15</f>
        <v>4.8014999999999999</v>
      </c>
      <c r="J5" s="60">
        <f>136.26*0.15</f>
        <v>20.438999999999997</v>
      </c>
    </row>
    <row r="6" spans="1:10" s="1" customFormat="1" ht="12.15" customHeight="1" x14ac:dyDescent="0.25">
      <c r="A6" s="149"/>
      <c r="B6" s="14" t="s">
        <v>165</v>
      </c>
      <c r="C6" s="22" t="s">
        <v>111</v>
      </c>
      <c r="D6" s="23" t="s">
        <v>112</v>
      </c>
      <c r="E6" s="24">
        <v>120</v>
      </c>
      <c r="F6" s="98">
        <f>31.24+0.248</f>
        <v>31.488</v>
      </c>
      <c r="G6" s="26">
        <v>145.9</v>
      </c>
      <c r="H6" s="26">
        <v>18.7</v>
      </c>
      <c r="I6" s="26">
        <v>6</v>
      </c>
      <c r="J6" s="60">
        <v>4.2</v>
      </c>
    </row>
    <row r="7" spans="1:10" s="1" customFormat="1" ht="12.15" customHeight="1" x14ac:dyDescent="0.25">
      <c r="A7" s="149"/>
      <c r="B7" s="14"/>
      <c r="C7" s="22" t="s">
        <v>113</v>
      </c>
      <c r="D7" s="23" t="s">
        <v>114</v>
      </c>
      <c r="E7" s="24">
        <v>10</v>
      </c>
      <c r="F7" s="98">
        <v>5</v>
      </c>
      <c r="G7" s="26">
        <v>66</v>
      </c>
      <c r="H7" s="26">
        <v>0.08</v>
      </c>
      <c r="I7" s="26">
        <v>7.25</v>
      </c>
      <c r="J7" s="60">
        <v>17</v>
      </c>
    </row>
    <row r="8" spans="1:10" s="1" customFormat="1" ht="12.15" customHeight="1" x14ac:dyDescent="0.25">
      <c r="A8" s="149"/>
      <c r="B8" s="14" t="s">
        <v>143</v>
      </c>
      <c r="C8" s="22" t="s">
        <v>85</v>
      </c>
      <c r="D8" s="23" t="s">
        <v>86</v>
      </c>
      <c r="E8" s="24">
        <v>200</v>
      </c>
      <c r="F8" s="98">
        <v>6.5</v>
      </c>
      <c r="G8" s="26">
        <f>593*0.2</f>
        <v>118.60000000000001</v>
      </c>
      <c r="H8" s="26">
        <f>20.39*0.2</f>
        <v>4.0780000000000003</v>
      </c>
      <c r="I8" s="26">
        <f>17.72*0.2</f>
        <v>3.544</v>
      </c>
      <c r="J8" s="60">
        <f>87.89*0.2</f>
        <v>17.577999999999999</v>
      </c>
    </row>
    <row r="9" spans="1:10" s="1" customFormat="1" ht="12.15" customHeight="1" x14ac:dyDescent="0.25">
      <c r="A9" s="149"/>
      <c r="B9" s="14" t="s">
        <v>145</v>
      </c>
      <c r="C9" s="22"/>
      <c r="D9" s="23" t="s">
        <v>16</v>
      </c>
      <c r="E9" s="24">
        <v>20</v>
      </c>
      <c r="F9" s="98">
        <v>1.5</v>
      </c>
      <c r="G9" s="26">
        <v>47.4</v>
      </c>
      <c r="H9" s="26">
        <v>1.5</v>
      </c>
      <c r="I9" s="26">
        <v>0.1</v>
      </c>
      <c r="J9" s="60">
        <v>10</v>
      </c>
    </row>
    <row r="10" spans="1:10" s="1" customFormat="1" ht="12.15" customHeight="1" x14ac:dyDescent="0.25">
      <c r="A10" s="149"/>
      <c r="B10" s="14" t="s">
        <v>145</v>
      </c>
      <c r="C10" s="22"/>
      <c r="D10" s="23" t="s">
        <v>17</v>
      </c>
      <c r="E10" s="24">
        <v>20</v>
      </c>
      <c r="F10" s="98">
        <v>2.5</v>
      </c>
      <c r="G10" s="26">
        <v>40.799999999999997</v>
      </c>
      <c r="H10" s="26">
        <v>1.3</v>
      </c>
      <c r="I10" s="26">
        <v>0.2</v>
      </c>
      <c r="J10" s="60">
        <v>8.5</v>
      </c>
    </row>
    <row r="11" spans="1:10" s="1" customFormat="1" ht="21.6" customHeight="1" thickBot="1" x14ac:dyDescent="0.3">
      <c r="A11" s="150"/>
      <c r="B11" s="54"/>
      <c r="C11" s="42"/>
      <c r="D11" s="61" t="s">
        <v>18</v>
      </c>
      <c r="E11" s="62">
        <f t="shared" ref="E11:J11" si="0">SUM(E4:E10)</f>
        <v>580</v>
      </c>
      <c r="F11" s="63">
        <f t="shared" si="0"/>
        <v>64.988</v>
      </c>
      <c r="G11" s="131">
        <f t="shared" si="0"/>
        <v>613.13</v>
      </c>
      <c r="H11" s="131">
        <f t="shared" si="0"/>
        <v>29.476699999999997</v>
      </c>
      <c r="I11" s="131">
        <f t="shared" si="0"/>
        <v>21.975300000000001</v>
      </c>
      <c r="J11" s="132">
        <f t="shared" si="0"/>
        <v>91.081999999999994</v>
      </c>
    </row>
    <row r="12" spans="1:10" s="1" customFormat="1" ht="12.15" customHeight="1" x14ac:dyDescent="0.25">
      <c r="A12" s="187" t="s">
        <v>140</v>
      </c>
      <c r="B12" s="49" t="s">
        <v>141</v>
      </c>
      <c r="C12" s="34" t="s">
        <v>115</v>
      </c>
      <c r="D12" s="55" t="s">
        <v>116</v>
      </c>
      <c r="E12" s="34">
        <v>60</v>
      </c>
      <c r="F12" s="103">
        <v>8</v>
      </c>
      <c r="G12" s="57">
        <f>1251*0.06</f>
        <v>75.06</v>
      </c>
      <c r="H12" s="57">
        <f>14.03*0.06</f>
        <v>0.84179999999999988</v>
      </c>
      <c r="I12" s="57">
        <f>100.4*0.06</f>
        <v>6.024</v>
      </c>
      <c r="J12" s="59">
        <f>72.9*0.06</f>
        <v>4.3740000000000006</v>
      </c>
    </row>
    <row r="13" spans="1:10" s="1" customFormat="1" ht="12.15" customHeight="1" x14ac:dyDescent="0.25">
      <c r="A13" s="149"/>
      <c r="B13" s="14" t="s">
        <v>146</v>
      </c>
      <c r="C13" s="22" t="s">
        <v>117</v>
      </c>
      <c r="D13" s="23" t="s">
        <v>118</v>
      </c>
      <c r="E13" s="24">
        <v>200</v>
      </c>
      <c r="F13" s="98">
        <v>10</v>
      </c>
      <c r="G13" s="26">
        <f>473*0.2</f>
        <v>94.600000000000009</v>
      </c>
      <c r="H13" s="26">
        <f>10.75*0.2</f>
        <v>2.15</v>
      </c>
      <c r="I13" s="26">
        <f>11.35*0.2</f>
        <v>2.27</v>
      </c>
      <c r="J13" s="60">
        <f>69.82*0.2</f>
        <v>13.963999999999999</v>
      </c>
    </row>
    <row r="14" spans="1:10" s="1" customFormat="1" ht="12.15" customHeight="1" x14ac:dyDescent="0.25">
      <c r="A14" s="149"/>
      <c r="B14" s="14" t="s">
        <v>147</v>
      </c>
      <c r="C14" s="22" t="s">
        <v>119</v>
      </c>
      <c r="D14" s="23" t="s">
        <v>120</v>
      </c>
      <c r="E14" s="24">
        <v>150</v>
      </c>
      <c r="F14" s="98">
        <v>10.09</v>
      </c>
      <c r="G14" s="26">
        <f>884*0.15</f>
        <v>132.6</v>
      </c>
      <c r="H14" s="26">
        <f>17.76*0.15</f>
        <v>2.6640000000000001</v>
      </c>
      <c r="I14" s="26">
        <f>53.38*0.15</f>
        <v>8.0069999999999997</v>
      </c>
      <c r="J14" s="60">
        <f>83.13*0.15</f>
        <v>12.469499999999998</v>
      </c>
    </row>
    <row r="15" spans="1:10" s="1" customFormat="1" ht="12.15" customHeight="1" x14ac:dyDescent="0.25">
      <c r="A15" s="149"/>
      <c r="B15" s="14" t="s">
        <v>165</v>
      </c>
      <c r="C15" s="22" t="s">
        <v>121</v>
      </c>
      <c r="D15" s="23" t="s">
        <v>122</v>
      </c>
      <c r="E15" s="24">
        <v>90</v>
      </c>
      <c r="F15" s="98">
        <v>35.1</v>
      </c>
      <c r="G15" s="26">
        <f>166*90/100</f>
        <v>149.4</v>
      </c>
      <c r="H15" s="26">
        <f>11.65*90/100</f>
        <v>10.484999999999999</v>
      </c>
      <c r="I15" s="26">
        <f>11.66*90/100</f>
        <v>10.494000000000002</v>
      </c>
      <c r="J15" s="60">
        <f>3.51*90/100</f>
        <v>3.1589999999999998</v>
      </c>
    </row>
    <row r="16" spans="1:10" s="1" customFormat="1" ht="12.15" customHeight="1" x14ac:dyDescent="0.25">
      <c r="A16" s="149"/>
      <c r="B16" s="14" t="s">
        <v>143</v>
      </c>
      <c r="C16" s="22" t="s">
        <v>99</v>
      </c>
      <c r="D16" s="23" t="s">
        <v>100</v>
      </c>
      <c r="E16" s="24">
        <v>200</v>
      </c>
      <c r="F16" s="98">
        <v>6.5</v>
      </c>
      <c r="G16" s="26">
        <v>62</v>
      </c>
      <c r="H16" s="26">
        <v>0.13</v>
      </c>
      <c r="I16" s="26">
        <v>0.02</v>
      </c>
      <c r="J16" s="60">
        <v>15.2</v>
      </c>
    </row>
    <row r="17" spans="1:10" s="12" customFormat="1" ht="12.15" customHeight="1" x14ac:dyDescent="0.25">
      <c r="A17" s="149"/>
      <c r="B17" s="106" t="s">
        <v>154</v>
      </c>
      <c r="C17" s="107" t="s">
        <v>46</v>
      </c>
      <c r="D17" s="108" t="s">
        <v>47</v>
      </c>
      <c r="E17" s="109">
        <v>200</v>
      </c>
      <c r="F17" s="110">
        <v>10</v>
      </c>
      <c r="G17" s="136">
        <v>52</v>
      </c>
      <c r="H17" s="136">
        <v>2.8</v>
      </c>
      <c r="I17" s="136">
        <v>2.5</v>
      </c>
      <c r="J17" s="137">
        <v>4.7</v>
      </c>
    </row>
    <row r="18" spans="1:10" s="1" customFormat="1" ht="12.15" customHeight="1" x14ac:dyDescent="0.25">
      <c r="A18" s="149"/>
      <c r="B18" s="14" t="s">
        <v>144</v>
      </c>
      <c r="C18" s="22" t="s">
        <v>14</v>
      </c>
      <c r="D18" s="23" t="s">
        <v>15</v>
      </c>
      <c r="E18" s="24">
        <v>120</v>
      </c>
      <c r="F18" s="98">
        <v>6</v>
      </c>
      <c r="G18" s="26">
        <v>56.4</v>
      </c>
      <c r="H18" s="26">
        <v>0.5</v>
      </c>
      <c r="I18" s="26">
        <v>0.5</v>
      </c>
      <c r="J18" s="60">
        <v>11.8</v>
      </c>
    </row>
    <row r="19" spans="1:10" s="1" customFormat="1" ht="12.15" customHeight="1" x14ac:dyDescent="0.25">
      <c r="A19" s="149"/>
      <c r="B19" s="14" t="s">
        <v>145</v>
      </c>
      <c r="C19" s="22"/>
      <c r="D19" s="23" t="s">
        <v>16</v>
      </c>
      <c r="E19" s="24">
        <v>50</v>
      </c>
      <c r="F19" s="98">
        <v>3.7</v>
      </c>
      <c r="G19" s="26">
        <v>118.4</v>
      </c>
      <c r="H19" s="26">
        <v>3.8</v>
      </c>
      <c r="I19" s="26">
        <v>0.3</v>
      </c>
      <c r="J19" s="60">
        <v>25.1</v>
      </c>
    </row>
    <row r="20" spans="1:10" s="1" customFormat="1" ht="12.15" customHeight="1" x14ac:dyDescent="0.25">
      <c r="A20" s="149"/>
      <c r="B20" s="14" t="s">
        <v>145</v>
      </c>
      <c r="C20" s="22"/>
      <c r="D20" s="23" t="s">
        <v>17</v>
      </c>
      <c r="E20" s="24">
        <v>30</v>
      </c>
      <c r="F20" s="98">
        <v>3.8</v>
      </c>
      <c r="G20" s="26">
        <v>61.2</v>
      </c>
      <c r="H20" s="26">
        <v>2</v>
      </c>
      <c r="I20" s="26">
        <v>0.3</v>
      </c>
      <c r="J20" s="60">
        <v>12.7</v>
      </c>
    </row>
    <row r="21" spans="1:10" s="1" customFormat="1" ht="21.6" customHeight="1" thickBot="1" x14ac:dyDescent="0.3">
      <c r="A21" s="150"/>
      <c r="B21" s="54"/>
      <c r="C21" s="42"/>
      <c r="D21" s="61" t="s">
        <v>18</v>
      </c>
      <c r="E21" s="62">
        <v>900</v>
      </c>
      <c r="F21" s="63">
        <f>SUM(F12:F20)</f>
        <v>93.19</v>
      </c>
      <c r="G21" s="131">
        <f>SUM(G12:G20)</f>
        <v>801.66</v>
      </c>
      <c r="H21" s="131">
        <f>SUM(H12:H20)</f>
        <v>25.370799999999999</v>
      </c>
      <c r="I21" s="131">
        <f>SUM(I12:I20)</f>
        <v>30.415000000000003</v>
      </c>
      <c r="J21" s="132">
        <f>SUM(J12:J20)</f>
        <v>103.46650000000001</v>
      </c>
    </row>
  </sheetData>
  <mergeCells count="11">
    <mergeCell ref="B1:D1"/>
    <mergeCell ref="A2:A3"/>
    <mergeCell ref="B2:B3"/>
    <mergeCell ref="C2:C3"/>
    <mergeCell ref="D2:D3"/>
    <mergeCell ref="F2:F3"/>
    <mergeCell ref="G2:G3"/>
    <mergeCell ref="H2:J2"/>
    <mergeCell ref="A4:A11"/>
    <mergeCell ref="A12:A21"/>
    <mergeCell ref="E2:E3"/>
  </mergeCells>
  <pageMargins left="0.7" right="0.7" top="0.75" bottom="0.75" header="0.3" footer="0.3"/>
  <pageSetup paperSize="9" scale="70" orientation="portrait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F16" sqref="F16"/>
    </sheetView>
  </sheetViews>
  <sheetFormatPr defaultRowHeight="14.4" x14ac:dyDescent="0.3"/>
  <cols>
    <col min="2" max="2" width="19.5546875" customWidth="1"/>
    <col min="4" max="4" width="52.109375" customWidth="1"/>
    <col min="6" max="10" width="8.88671875" style="129"/>
  </cols>
  <sheetData>
    <row r="1" spans="1:12" x14ac:dyDescent="0.3">
      <c r="A1" t="s">
        <v>159</v>
      </c>
      <c r="B1" s="144" t="s">
        <v>160</v>
      </c>
      <c r="C1" s="145"/>
      <c r="D1" s="146"/>
      <c r="E1" t="s">
        <v>161</v>
      </c>
      <c r="G1" s="130"/>
      <c r="I1" s="129" t="s">
        <v>162</v>
      </c>
      <c r="J1" s="130"/>
    </row>
    <row r="2" spans="1:12" s="89" customFormat="1" ht="13.35" customHeight="1" x14ac:dyDescent="0.2">
      <c r="A2" s="186" t="s">
        <v>150</v>
      </c>
      <c r="B2" s="171" t="s">
        <v>155</v>
      </c>
      <c r="C2" s="161" t="s">
        <v>0</v>
      </c>
      <c r="D2" s="143" t="s">
        <v>1</v>
      </c>
      <c r="E2" s="143" t="s">
        <v>2</v>
      </c>
      <c r="F2" s="160" t="s">
        <v>4</v>
      </c>
      <c r="G2" s="159" t="s">
        <v>3</v>
      </c>
      <c r="H2" s="159" t="s">
        <v>5</v>
      </c>
      <c r="I2" s="159"/>
      <c r="J2" s="159"/>
    </row>
    <row r="3" spans="1:12" s="89" customFormat="1" ht="26.55" customHeight="1" thickBot="1" x14ac:dyDescent="0.25">
      <c r="A3" s="191"/>
      <c r="B3" s="191"/>
      <c r="C3" s="162"/>
      <c r="D3" s="147"/>
      <c r="E3" s="147"/>
      <c r="F3" s="163"/>
      <c r="G3" s="160"/>
      <c r="H3" s="128" t="s">
        <v>6</v>
      </c>
      <c r="I3" s="128" t="s">
        <v>7</v>
      </c>
      <c r="J3" s="128" t="s">
        <v>8</v>
      </c>
    </row>
    <row r="4" spans="1:12" s="1" customFormat="1" ht="12.15" customHeight="1" x14ac:dyDescent="0.25">
      <c r="A4" s="187" t="s">
        <v>139</v>
      </c>
      <c r="B4" s="49" t="s">
        <v>146</v>
      </c>
      <c r="C4" s="34" t="s">
        <v>123</v>
      </c>
      <c r="D4" s="55" t="s">
        <v>124</v>
      </c>
      <c r="E4" s="56">
        <v>150</v>
      </c>
      <c r="F4" s="103">
        <f>31.43+0.248</f>
        <v>31.678000000000001</v>
      </c>
      <c r="G4" s="57">
        <f>186*150/135</f>
        <v>206.66666666666666</v>
      </c>
      <c r="H4" s="57">
        <f>7.32*150/135</f>
        <v>8.1333333333333329</v>
      </c>
      <c r="I4" s="57">
        <f>5.5*150/135</f>
        <v>6.1111111111111107</v>
      </c>
      <c r="J4" s="59">
        <f>26.52*150/135</f>
        <v>29.466666666666665</v>
      </c>
    </row>
    <row r="5" spans="1:12" s="1" customFormat="1" ht="12.15" customHeight="1" x14ac:dyDescent="0.25">
      <c r="A5" s="149"/>
      <c r="B5" s="14" t="s">
        <v>166</v>
      </c>
      <c r="C5" s="22" t="s">
        <v>125</v>
      </c>
      <c r="D5" s="23" t="s">
        <v>126</v>
      </c>
      <c r="E5" s="24">
        <v>40</v>
      </c>
      <c r="F5" s="98">
        <f>4.51+0.16</f>
        <v>4.67</v>
      </c>
      <c r="G5" s="26">
        <v>63</v>
      </c>
      <c r="H5" s="26">
        <v>5</v>
      </c>
      <c r="I5" s="26">
        <v>4.5999999999999996</v>
      </c>
      <c r="J5" s="60">
        <v>0.28000000000000003</v>
      </c>
    </row>
    <row r="6" spans="1:12" s="1" customFormat="1" ht="12.15" customHeight="1" x14ac:dyDescent="0.25">
      <c r="A6" s="149"/>
      <c r="B6" s="14" t="s">
        <v>143</v>
      </c>
      <c r="C6" s="22" t="s">
        <v>37</v>
      </c>
      <c r="D6" s="23" t="s">
        <v>98</v>
      </c>
      <c r="E6" s="24">
        <v>200</v>
      </c>
      <c r="F6" s="98">
        <v>6</v>
      </c>
      <c r="G6" s="26">
        <f>503*0.2</f>
        <v>100.60000000000001</v>
      </c>
      <c r="H6" s="26">
        <f>15.83*0.2</f>
        <v>3.1660000000000004</v>
      </c>
      <c r="I6" s="26">
        <f>13.39*0.2</f>
        <v>2.6780000000000004</v>
      </c>
      <c r="J6" s="60">
        <f>79.73*0.2</f>
        <v>15.946000000000002</v>
      </c>
    </row>
    <row r="7" spans="1:12" s="1" customFormat="1" ht="12.15" customHeight="1" x14ac:dyDescent="0.25">
      <c r="A7" s="149"/>
      <c r="B7" s="14" t="s">
        <v>153</v>
      </c>
      <c r="C7" s="22"/>
      <c r="D7" s="23" t="s">
        <v>62</v>
      </c>
      <c r="E7" s="24">
        <v>50</v>
      </c>
      <c r="F7" s="98">
        <v>12</v>
      </c>
      <c r="G7" s="26">
        <v>70.400000000000006</v>
      </c>
      <c r="H7" s="26">
        <v>0.9</v>
      </c>
      <c r="I7" s="26">
        <v>4.9000000000000004</v>
      </c>
      <c r="J7" s="60">
        <v>8.92</v>
      </c>
    </row>
    <row r="8" spans="1:12" s="1" customFormat="1" ht="12.15" hidden="1" customHeight="1" x14ac:dyDescent="0.25">
      <c r="A8" s="149"/>
      <c r="B8" s="14"/>
      <c r="C8" s="22"/>
      <c r="D8" s="23"/>
      <c r="E8" s="22"/>
      <c r="F8" s="98"/>
      <c r="G8" s="26"/>
      <c r="H8" s="26"/>
      <c r="I8" s="26"/>
      <c r="J8" s="60"/>
    </row>
    <row r="9" spans="1:12" s="1" customFormat="1" ht="12.15" customHeight="1" x14ac:dyDescent="0.25">
      <c r="A9" s="149"/>
      <c r="B9" s="14" t="s">
        <v>145</v>
      </c>
      <c r="C9" s="22"/>
      <c r="D9" s="23" t="s">
        <v>16</v>
      </c>
      <c r="E9" s="24">
        <v>40</v>
      </c>
      <c r="F9" s="98">
        <v>3.1</v>
      </c>
      <c r="G9" s="26">
        <v>94.7</v>
      </c>
      <c r="H9" s="26">
        <v>3.1</v>
      </c>
      <c r="I9" s="26">
        <v>0.2</v>
      </c>
      <c r="J9" s="60">
        <v>20.100000000000001</v>
      </c>
    </row>
    <row r="10" spans="1:12" s="1" customFormat="1" ht="12.15" customHeight="1" x14ac:dyDescent="0.25">
      <c r="A10" s="149"/>
      <c r="B10" s="14" t="s">
        <v>145</v>
      </c>
      <c r="C10" s="22"/>
      <c r="D10" s="23" t="s">
        <v>17</v>
      </c>
      <c r="E10" s="24">
        <v>20</v>
      </c>
      <c r="F10" s="98">
        <v>2.5</v>
      </c>
      <c r="G10" s="26">
        <v>40.799999999999997</v>
      </c>
      <c r="H10" s="26">
        <v>1.3</v>
      </c>
      <c r="I10" s="26">
        <v>0.2</v>
      </c>
      <c r="J10" s="60">
        <v>8.5</v>
      </c>
    </row>
    <row r="11" spans="1:12" s="1" customFormat="1" ht="12.15" customHeight="1" thickBot="1" x14ac:dyDescent="0.3">
      <c r="A11" s="150"/>
      <c r="B11" s="54"/>
      <c r="C11" s="42"/>
      <c r="D11" s="61" t="s">
        <v>18</v>
      </c>
      <c r="E11" s="62">
        <v>500</v>
      </c>
      <c r="F11" s="63">
        <f>SUM(F4:F10)</f>
        <v>59.948</v>
      </c>
      <c r="G11" s="131">
        <f>SUM(G3:G10)</f>
        <v>576.16666666666663</v>
      </c>
      <c r="H11" s="131">
        <f>SUM(H3:H10)</f>
        <v>21.599333333333334</v>
      </c>
      <c r="I11" s="131">
        <f>SUM(I3:I10)</f>
        <v>18.68911111111111</v>
      </c>
      <c r="J11" s="132">
        <f>SUM(J3:J10)</f>
        <v>83.212666666666678</v>
      </c>
    </row>
    <row r="12" spans="1:12" s="12" customFormat="1" ht="12.15" customHeight="1" x14ac:dyDescent="0.25">
      <c r="A12" s="192" t="s">
        <v>140</v>
      </c>
      <c r="B12" s="111" t="s">
        <v>141</v>
      </c>
      <c r="C12" s="112" t="s">
        <v>127</v>
      </c>
      <c r="D12" s="113" t="s">
        <v>128</v>
      </c>
      <c r="E12" s="114">
        <v>60</v>
      </c>
      <c r="F12" s="115">
        <v>8.5</v>
      </c>
      <c r="G12" s="138">
        <f>901*0.06</f>
        <v>54.059999999999995</v>
      </c>
      <c r="H12" s="138">
        <f>1.22*0.06</f>
        <v>7.3200000000000001E-2</v>
      </c>
      <c r="I12" s="138">
        <f>51.04*0.06</f>
        <v>3.0623999999999998</v>
      </c>
      <c r="J12" s="139">
        <f>111.65*0.06</f>
        <v>6.6989999999999998</v>
      </c>
      <c r="L12" s="125"/>
    </row>
    <row r="13" spans="1:12" s="1" customFormat="1" ht="12.15" customHeight="1" x14ac:dyDescent="0.25">
      <c r="A13" s="149"/>
      <c r="B13" s="14" t="s">
        <v>146</v>
      </c>
      <c r="C13" s="22" t="s">
        <v>41</v>
      </c>
      <c r="D13" s="23" t="s">
        <v>42</v>
      </c>
      <c r="E13" s="24">
        <v>200</v>
      </c>
      <c r="F13" s="98">
        <v>10.09</v>
      </c>
      <c r="G13" s="26">
        <f>593*0.2</f>
        <v>118.60000000000001</v>
      </c>
      <c r="H13" s="26">
        <f>21.96*0.06</f>
        <v>1.3176000000000001</v>
      </c>
      <c r="I13" s="26">
        <f>21.08*0.2</f>
        <v>4.2160000000000002</v>
      </c>
      <c r="J13" s="60">
        <f>66.14*0.2</f>
        <v>13.228000000000002</v>
      </c>
    </row>
    <row r="14" spans="1:12" s="1" customFormat="1" ht="12.15" customHeight="1" x14ac:dyDescent="0.25">
      <c r="A14" s="149"/>
      <c r="B14" s="14" t="s">
        <v>147</v>
      </c>
      <c r="C14" s="22" t="s">
        <v>129</v>
      </c>
      <c r="D14" s="23" t="s">
        <v>130</v>
      </c>
      <c r="E14" s="24">
        <v>150</v>
      </c>
      <c r="F14" s="98">
        <v>11.3</v>
      </c>
      <c r="G14" s="26">
        <f>1625*0.15</f>
        <v>243.75</v>
      </c>
      <c r="H14" s="26">
        <f>57.32*0.15</f>
        <v>8.597999999999999</v>
      </c>
      <c r="I14" s="26">
        <f>40.62*0.15</f>
        <v>6.0929999999999991</v>
      </c>
      <c r="J14" s="60">
        <f>257.61*0.15</f>
        <v>38.641500000000001</v>
      </c>
    </row>
    <row r="15" spans="1:12" s="1" customFormat="1" ht="12.15" customHeight="1" x14ac:dyDescent="0.25">
      <c r="A15" s="149"/>
      <c r="B15" s="14" t="s">
        <v>165</v>
      </c>
      <c r="C15" s="22" t="s">
        <v>131</v>
      </c>
      <c r="D15" s="23" t="s">
        <v>132</v>
      </c>
      <c r="E15" s="24">
        <v>90</v>
      </c>
      <c r="F15" s="98">
        <f>49.68-1.99</f>
        <v>47.69</v>
      </c>
      <c r="G15" s="26">
        <f>151*90/110</f>
        <v>123.54545454545455</v>
      </c>
      <c r="H15" s="26">
        <f>7.83*90/110</f>
        <v>6.4063636363636371</v>
      </c>
      <c r="I15" s="26">
        <f>8.75*90/110</f>
        <v>7.1590909090909092</v>
      </c>
      <c r="J15" s="60">
        <f>10.25*90/110</f>
        <v>8.3863636363636367</v>
      </c>
    </row>
    <row r="16" spans="1:12" s="1" customFormat="1" ht="12.15" customHeight="1" x14ac:dyDescent="0.25">
      <c r="A16" s="149"/>
      <c r="B16" s="14" t="s">
        <v>152</v>
      </c>
      <c r="C16" s="22" t="s">
        <v>29</v>
      </c>
      <c r="D16" s="23" t="s">
        <v>30</v>
      </c>
      <c r="E16" s="24">
        <v>180</v>
      </c>
      <c r="F16" s="98">
        <v>8</v>
      </c>
      <c r="G16" s="26">
        <v>95.4</v>
      </c>
      <c r="H16" s="26">
        <v>5.2</v>
      </c>
      <c r="I16" s="26">
        <v>4.5</v>
      </c>
      <c r="J16" s="60">
        <v>7.2</v>
      </c>
    </row>
    <row r="17" spans="1:10" s="1" customFormat="1" ht="12.15" customHeight="1" x14ac:dyDescent="0.25">
      <c r="A17" s="149"/>
      <c r="B17" s="14" t="s">
        <v>145</v>
      </c>
      <c r="C17" s="22"/>
      <c r="D17" s="23" t="s">
        <v>16</v>
      </c>
      <c r="E17" s="24">
        <v>50</v>
      </c>
      <c r="F17" s="98">
        <v>3.7</v>
      </c>
      <c r="G17" s="26">
        <v>118.4</v>
      </c>
      <c r="H17" s="26">
        <v>3.8</v>
      </c>
      <c r="I17" s="26">
        <v>0.3</v>
      </c>
      <c r="J17" s="60">
        <v>25.1</v>
      </c>
    </row>
    <row r="18" spans="1:10" s="1" customFormat="1" ht="12.15" customHeight="1" x14ac:dyDescent="0.25">
      <c r="A18" s="149"/>
      <c r="B18" s="14" t="s">
        <v>145</v>
      </c>
      <c r="C18" s="22"/>
      <c r="D18" s="23" t="s">
        <v>17</v>
      </c>
      <c r="E18" s="24">
        <v>30</v>
      </c>
      <c r="F18" s="98">
        <v>3.8</v>
      </c>
      <c r="G18" s="26">
        <v>61.2</v>
      </c>
      <c r="H18" s="26">
        <v>2</v>
      </c>
      <c r="I18" s="26">
        <v>0.3</v>
      </c>
      <c r="J18" s="60">
        <v>12.7</v>
      </c>
    </row>
    <row r="19" spans="1:10" s="1" customFormat="1" ht="21.6" customHeight="1" thickBot="1" x14ac:dyDescent="0.3">
      <c r="A19" s="150"/>
      <c r="B19" s="54"/>
      <c r="C19" s="42"/>
      <c r="D19" s="61" t="s">
        <v>18</v>
      </c>
      <c r="E19" s="62">
        <v>760</v>
      </c>
      <c r="F19" s="63">
        <f>SUM(F12:F18)</f>
        <v>93.08</v>
      </c>
      <c r="G19" s="131">
        <f>SUM(G12:G18)</f>
        <v>814.95545454545447</v>
      </c>
      <c r="H19" s="131">
        <f>SUM(H12:H18)</f>
        <v>27.395163636363637</v>
      </c>
      <c r="I19" s="131">
        <f>SUM(I12:I18)</f>
        <v>25.630490909090909</v>
      </c>
      <c r="J19" s="132">
        <f>SUM(J12:J18)</f>
        <v>111.95486363636364</v>
      </c>
    </row>
  </sheetData>
  <mergeCells count="11">
    <mergeCell ref="B1:D1"/>
    <mergeCell ref="A2:A3"/>
    <mergeCell ref="B2:B3"/>
    <mergeCell ref="C2:C3"/>
    <mergeCell ref="D2:D3"/>
    <mergeCell ref="F2:F3"/>
    <mergeCell ref="G2:G3"/>
    <mergeCell ref="H2:J2"/>
    <mergeCell ref="A4:A11"/>
    <mergeCell ref="A12:A19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1д1н</vt:lpstr>
      <vt:lpstr>2д1н</vt:lpstr>
      <vt:lpstr>3д1н</vt:lpstr>
      <vt:lpstr>4д1н</vt:lpstr>
      <vt:lpstr>5д1н</vt:lpstr>
      <vt:lpstr>1д2н</vt:lpstr>
      <vt:lpstr>2д2н</vt:lpstr>
      <vt:lpstr>3д2н</vt:lpstr>
      <vt:lpstr>4д2н</vt:lpstr>
      <vt:lpstr>5д2н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</dc:creator>
  <cp:lastModifiedBy>4</cp:lastModifiedBy>
  <cp:lastPrinted>2023-01-08T14:37:37Z</cp:lastPrinted>
  <dcterms:created xsi:type="dcterms:W3CDTF">2023-01-08T07:02:43Z</dcterms:created>
  <dcterms:modified xsi:type="dcterms:W3CDTF">2023-01-09T15:52:29Z</dcterms:modified>
</cp:coreProperties>
</file>